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-120" yWindow="-120" windowWidth="29040" windowHeight="15840"/>
  </bookViews>
  <sheets>
    <sheet name="Summary " sheetId="1" r:id="rId1"/>
    <sheet name="13571386" sheetId="2" r:id="rId2"/>
    <sheet name="13768424" sheetId="3" r:id="rId3"/>
    <sheet name="13770172" sheetId="4" r:id="rId4"/>
  </sheets>
  <calcPr calcId="181029"/>
</workbook>
</file>

<file path=xl/calcChain.xml><?xml version="1.0" encoding="utf-8"?>
<calcChain xmlns="http://schemas.openxmlformats.org/spreadsheetml/2006/main">
  <c r="G550" i="4" l="1"/>
  <c r="E550" i="4"/>
  <c r="K416" i="4"/>
  <c r="K415" i="4"/>
  <c r="K414" i="4"/>
  <c r="K413" i="4"/>
  <c r="K412" i="4"/>
  <c r="K411" i="4"/>
  <c r="K410" i="4"/>
  <c r="K409" i="4"/>
  <c r="K408" i="4"/>
  <c r="K407" i="4"/>
  <c r="K406" i="4"/>
  <c r="K405" i="4"/>
  <c r="K404" i="4"/>
  <c r="K403" i="4"/>
  <c r="K402" i="4"/>
  <c r="K401" i="4"/>
  <c r="K400" i="4"/>
  <c r="K399" i="4"/>
  <c r="K398" i="4"/>
  <c r="K397" i="4"/>
  <c r="K396" i="4"/>
  <c r="K395" i="4"/>
  <c r="K394" i="4"/>
  <c r="K393" i="4"/>
  <c r="K392" i="4"/>
  <c r="K391" i="4"/>
  <c r="K390" i="4"/>
  <c r="K389" i="4"/>
  <c r="K388" i="4"/>
  <c r="K387" i="4"/>
  <c r="K386" i="4"/>
  <c r="K385" i="4"/>
  <c r="K384" i="4"/>
  <c r="K383" i="4"/>
  <c r="K382" i="4"/>
  <c r="K381" i="4"/>
  <c r="K380" i="4"/>
  <c r="K379" i="4"/>
  <c r="K378" i="4"/>
  <c r="K377" i="4"/>
  <c r="K376" i="4"/>
  <c r="K375" i="4"/>
  <c r="K374" i="4"/>
  <c r="K373" i="4"/>
  <c r="K372" i="4"/>
  <c r="K371" i="4"/>
  <c r="K370" i="4"/>
  <c r="K369" i="4"/>
  <c r="K368" i="4"/>
  <c r="K367" i="4"/>
  <c r="K366" i="4"/>
  <c r="K365" i="4"/>
  <c r="K364" i="4"/>
  <c r="K363" i="4"/>
  <c r="K362" i="4"/>
  <c r="K361" i="4"/>
  <c r="K360" i="4"/>
  <c r="K359" i="4"/>
  <c r="K358" i="4"/>
  <c r="K357" i="4"/>
  <c r="K356" i="4"/>
  <c r="K355" i="4"/>
  <c r="K354" i="4"/>
  <c r="K353" i="4"/>
  <c r="K352" i="4"/>
  <c r="K351" i="4"/>
  <c r="K350" i="4"/>
  <c r="K349" i="4"/>
  <c r="K348" i="4"/>
  <c r="K347" i="4"/>
  <c r="K346" i="4"/>
  <c r="K345" i="4"/>
  <c r="K344" i="4"/>
  <c r="K343" i="4"/>
  <c r="K342" i="4"/>
  <c r="K341" i="4"/>
  <c r="K340" i="4"/>
  <c r="K339" i="4"/>
  <c r="K338" i="4"/>
  <c r="K337" i="4"/>
  <c r="K336" i="4"/>
  <c r="K335" i="4"/>
  <c r="K334" i="4"/>
  <c r="K333" i="4"/>
  <c r="K332" i="4"/>
  <c r="K331" i="4"/>
  <c r="K330" i="4"/>
  <c r="K329" i="4"/>
  <c r="K328" i="4"/>
  <c r="K327" i="4"/>
  <c r="K326" i="4"/>
  <c r="K325" i="4"/>
  <c r="K324" i="4"/>
  <c r="K323" i="4"/>
  <c r="K322" i="4"/>
  <c r="K321" i="4"/>
  <c r="K320" i="4"/>
  <c r="K319" i="4"/>
  <c r="K318" i="4"/>
  <c r="K317" i="4"/>
  <c r="K316" i="4"/>
  <c r="K315" i="4"/>
  <c r="K314" i="4"/>
  <c r="K313" i="4"/>
  <c r="K312" i="4"/>
  <c r="K311" i="4"/>
  <c r="K310" i="4"/>
  <c r="K309" i="4"/>
  <c r="K308" i="4"/>
  <c r="K307" i="4"/>
  <c r="K306" i="4"/>
  <c r="K305" i="4"/>
  <c r="K304" i="4"/>
  <c r="K303" i="4"/>
  <c r="K302" i="4"/>
  <c r="K301" i="4"/>
  <c r="K300" i="4"/>
  <c r="K299" i="4"/>
  <c r="K298" i="4"/>
  <c r="K297" i="4"/>
  <c r="K296" i="4"/>
  <c r="K295" i="4"/>
  <c r="K294" i="4"/>
  <c r="K293" i="4"/>
  <c r="K292" i="4"/>
  <c r="K291" i="4"/>
  <c r="K290" i="4"/>
  <c r="K289" i="4"/>
  <c r="K288" i="4"/>
  <c r="K287" i="4"/>
  <c r="K286" i="4"/>
  <c r="K285" i="4"/>
  <c r="K284" i="4"/>
  <c r="K283" i="4"/>
  <c r="K282" i="4"/>
  <c r="K281" i="4"/>
  <c r="K280" i="4"/>
  <c r="K279" i="4"/>
  <c r="K278" i="4"/>
  <c r="K277" i="4"/>
  <c r="K276" i="4"/>
  <c r="K275" i="4"/>
  <c r="K274" i="4"/>
  <c r="K273" i="4"/>
  <c r="K272" i="4"/>
  <c r="K271" i="4"/>
  <c r="K270" i="4"/>
  <c r="K269" i="4"/>
  <c r="K268" i="4"/>
  <c r="K267" i="4"/>
  <c r="K266" i="4"/>
  <c r="K265" i="4"/>
  <c r="K264" i="4"/>
  <c r="K263" i="4"/>
  <c r="K262" i="4"/>
  <c r="K261" i="4"/>
  <c r="K260" i="4"/>
  <c r="K259" i="4"/>
  <c r="K258" i="4"/>
  <c r="K257" i="4"/>
  <c r="K256" i="4"/>
  <c r="K255" i="4"/>
  <c r="K254" i="4"/>
  <c r="K253" i="4"/>
  <c r="K252" i="4"/>
  <c r="K251" i="4"/>
  <c r="K250" i="4"/>
  <c r="K249" i="4"/>
  <c r="K248" i="4"/>
  <c r="K247" i="4"/>
  <c r="K246" i="4"/>
  <c r="K245" i="4"/>
  <c r="K244" i="4"/>
  <c r="K243" i="4"/>
  <c r="K242" i="4"/>
  <c r="K241" i="4"/>
  <c r="K240" i="4"/>
  <c r="K239" i="4"/>
  <c r="K238" i="4"/>
  <c r="K237" i="4"/>
  <c r="K236" i="4"/>
  <c r="K235" i="4"/>
  <c r="K234" i="4"/>
  <c r="K233" i="4"/>
  <c r="K232" i="4"/>
  <c r="K231" i="4"/>
  <c r="K230" i="4"/>
  <c r="K229" i="4"/>
  <c r="K228" i="4"/>
  <c r="K227" i="4"/>
  <c r="K226" i="4"/>
  <c r="K225" i="4"/>
  <c r="K224" i="4"/>
  <c r="K223" i="4"/>
  <c r="K222" i="4"/>
  <c r="K221" i="4"/>
  <c r="K220" i="4"/>
  <c r="K219" i="4"/>
  <c r="K218" i="4"/>
  <c r="K217" i="4"/>
  <c r="K216" i="4"/>
  <c r="K215" i="4"/>
  <c r="K214" i="4"/>
  <c r="K213" i="4"/>
  <c r="K212" i="4"/>
  <c r="K211" i="4"/>
  <c r="K210" i="4"/>
  <c r="K209" i="4"/>
  <c r="K208" i="4"/>
  <c r="K207" i="4"/>
  <c r="K206" i="4"/>
  <c r="K205" i="4"/>
  <c r="K204" i="4"/>
  <c r="K203" i="4"/>
  <c r="K202" i="4"/>
  <c r="K201" i="4"/>
  <c r="K200" i="4"/>
  <c r="K199" i="4"/>
  <c r="K198" i="4"/>
  <c r="K197" i="4"/>
  <c r="K196" i="4"/>
  <c r="K195" i="4"/>
  <c r="K194" i="4"/>
  <c r="K193" i="4"/>
  <c r="K192" i="4"/>
  <c r="K191" i="4"/>
  <c r="K190" i="4"/>
  <c r="K189" i="4"/>
  <c r="K188" i="4"/>
  <c r="K187" i="4"/>
  <c r="K186" i="4"/>
  <c r="K185" i="4"/>
  <c r="K184" i="4"/>
  <c r="K183" i="4"/>
  <c r="K182" i="4"/>
  <c r="K181" i="4"/>
  <c r="K180" i="4"/>
  <c r="K179" i="4"/>
  <c r="K178" i="4"/>
  <c r="K177" i="4"/>
  <c r="K176" i="4"/>
  <c r="K175" i="4"/>
  <c r="K174" i="4"/>
  <c r="K173" i="4"/>
  <c r="K172" i="4"/>
  <c r="K171" i="4"/>
  <c r="K170" i="4"/>
  <c r="K169" i="4"/>
  <c r="K168" i="4"/>
  <c r="K167" i="4"/>
  <c r="K166" i="4"/>
  <c r="K165" i="4"/>
  <c r="K164" i="4"/>
  <c r="K163" i="4"/>
  <c r="K162" i="4"/>
  <c r="K161" i="4"/>
  <c r="K160" i="4"/>
  <c r="K159" i="4"/>
  <c r="K158" i="4"/>
  <c r="K157" i="4"/>
  <c r="K156" i="4"/>
  <c r="K155" i="4"/>
  <c r="K154" i="4"/>
  <c r="K153" i="4"/>
  <c r="K152" i="4"/>
  <c r="K151" i="4"/>
  <c r="K150" i="4"/>
  <c r="K149" i="4"/>
  <c r="K148" i="4"/>
  <c r="K147" i="4"/>
  <c r="K146" i="4"/>
  <c r="K145" i="4"/>
  <c r="K144" i="4"/>
  <c r="K143" i="4"/>
  <c r="K142" i="4"/>
  <c r="K141" i="4"/>
  <c r="K140" i="4"/>
  <c r="K139" i="4"/>
  <c r="K138" i="4"/>
  <c r="K137" i="4"/>
  <c r="K136" i="4"/>
  <c r="K135" i="4"/>
  <c r="K134" i="4"/>
  <c r="K133" i="4"/>
  <c r="K132" i="4"/>
  <c r="K131" i="4"/>
  <c r="K130" i="4"/>
  <c r="K129" i="4"/>
  <c r="K128" i="4"/>
  <c r="K127" i="4"/>
  <c r="K126" i="4"/>
  <c r="K125" i="4"/>
  <c r="K124" i="4"/>
  <c r="K123" i="4"/>
  <c r="K122" i="4"/>
  <c r="K121" i="4"/>
  <c r="K120" i="4"/>
  <c r="K119" i="4"/>
  <c r="K118" i="4"/>
  <c r="K117" i="4"/>
  <c r="K116" i="4"/>
  <c r="K115" i="4"/>
  <c r="K114" i="4"/>
  <c r="K113" i="4"/>
  <c r="K112" i="4"/>
  <c r="K111" i="4"/>
  <c r="K110" i="4"/>
  <c r="K109" i="4"/>
  <c r="K108" i="4"/>
  <c r="K107" i="4"/>
  <c r="K106" i="4"/>
  <c r="K105" i="4"/>
  <c r="K104" i="4"/>
  <c r="K103" i="4"/>
  <c r="K102" i="4"/>
  <c r="K101" i="4"/>
  <c r="K100" i="4"/>
  <c r="K99" i="4"/>
  <c r="K98" i="4"/>
  <c r="K97" i="4"/>
  <c r="K96" i="4"/>
  <c r="K95" i="4"/>
  <c r="K94" i="4"/>
  <c r="K93" i="4"/>
  <c r="K92" i="4"/>
  <c r="K91" i="4"/>
  <c r="K90" i="4"/>
  <c r="K89" i="4"/>
  <c r="K88" i="4"/>
  <c r="K87" i="4"/>
  <c r="K86" i="4"/>
  <c r="K85" i="4"/>
  <c r="K84" i="4"/>
  <c r="K83" i="4"/>
  <c r="K82" i="4"/>
  <c r="K81" i="4"/>
  <c r="K80" i="4"/>
  <c r="K79" i="4"/>
  <c r="K78" i="4"/>
  <c r="K77" i="4"/>
  <c r="K76" i="4"/>
  <c r="K75" i="4"/>
  <c r="K74" i="4"/>
  <c r="K73" i="4"/>
  <c r="K72" i="4"/>
  <c r="K71" i="4"/>
  <c r="K70" i="4"/>
  <c r="K69" i="4"/>
  <c r="K68" i="4"/>
  <c r="K67" i="4"/>
  <c r="K66" i="4"/>
  <c r="K65" i="4"/>
  <c r="K64" i="4"/>
  <c r="K63" i="4"/>
  <c r="K62" i="4"/>
  <c r="K61" i="4"/>
  <c r="K60" i="4"/>
  <c r="K59" i="4"/>
  <c r="K58" i="4"/>
  <c r="K57" i="4"/>
  <c r="K56" i="4"/>
  <c r="K55" i="4"/>
  <c r="K54" i="4"/>
  <c r="K53" i="4"/>
  <c r="K52" i="4"/>
  <c r="K51" i="4"/>
  <c r="K50" i="4"/>
  <c r="K49" i="4"/>
  <c r="K48" i="4"/>
  <c r="K47" i="4"/>
  <c r="K46" i="4"/>
  <c r="K45" i="4"/>
  <c r="K44" i="4"/>
  <c r="K43" i="4"/>
  <c r="K42" i="4"/>
  <c r="K41" i="4"/>
  <c r="K40" i="4"/>
  <c r="K39" i="4"/>
  <c r="K38" i="4"/>
  <c r="K37" i="4"/>
  <c r="K36" i="4"/>
  <c r="K35" i="4"/>
  <c r="K34" i="4"/>
  <c r="K33" i="4"/>
  <c r="K32" i="4"/>
  <c r="K31" i="4"/>
  <c r="K30" i="4"/>
  <c r="K29" i="4"/>
  <c r="K28" i="4"/>
  <c r="K27" i="4"/>
  <c r="K26" i="4"/>
  <c r="K25" i="4"/>
  <c r="K24" i="4"/>
  <c r="K23" i="4"/>
  <c r="K22" i="4"/>
  <c r="K21" i="4"/>
  <c r="K20" i="4"/>
  <c r="K19" i="4"/>
  <c r="K18" i="4"/>
  <c r="K17" i="4"/>
  <c r="K16" i="4"/>
  <c r="K15" i="4"/>
  <c r="K14" i="4"/>
  <c r="K13" i="4"/>
  <c r="K12" i="4"/>
  <c r="K11" i="4"/>
  <c r="K10" i="4"/>
  <c r="K9" i="4"/>
  <c r="K8" i="4"/>
  <c r="K7" i="4"/>
  <c r="K6" i="4"/>
  <c r="K5" i="4"/>
  <c r="K4" i="4"/>
  <c r="K3" i="4"/>
  <c r="K2" i="4"/>
  <c r="G443" i="3"/>
  <c r="E443" i="3"/>
  <c r="K357" i="3"/>
  <c r="K356" i="3"/>
  <c r="K355" i="3"/>
  <c r="K354" i="3"/>
  <c r="K353" i="3"/>
  <c r="K352" i="3"/>
  <c r="K351" i="3"/>
  <c r="K350" i="3"/>
  <c r="K349" i="3"/>
  <c r="K348" i="3"/>
  <c r="K347" i="3"/>
  <c r="K346" i="3"/>
  <c r="K345" i="3"/>
  <c r="K344" i="3"/>
  <c r="K343" i="3"/>
  <c r="K342" i="3"/>
  <c r="K341" i="3"/>
  <c r="K340" i="3"/>
  <c r="K339" i="3"/>
  <c r="K338" i="3"/>
  <c r="K337" i="3"/>
  <c r="K336" i="3"/>
  <c r="K335" i="3"/>
  <c r="K334" i="3"/>
  <c r="K333" i="3"/>
  <c r="K332" i="3"/>
  <c r="K331" i="3"/>
  <c r="K330" i="3"/>
  <c r="K329" i="3"/>
  <c r="K328" i="3"/>
  <c r="K327" i="3"/>
  <c r="K326" i="3"/>
  <c r="K325" i="3"/>
  <c r="K324" i="3"/>
  <c r="K323" i="3"/>
  <c r="K322" i="3"/>
  <c r="K321" i="3"/>
  <c r="K320" i="3"/>
  <c r="K319" i="3"/>
  <c r="K318" i="3"/>
  <c r="K317" i="3"/>
  <c r="K316" i="3"/>
  <c r="K315" i="3"/>
  <c r="K314" i="3"/>
  <c r="K313" i="3"/>
  <c r="K312" i="3"/>
  <c r="K311" i="3"/>
  <c r="K310" i="3"/>
  <c r="K309" i="3"/>
  <c r="K308" i="3"/>
  <c r="K307" i="3"/>
  <c r="K306" i="3"/>
  <c r="K305" i="3"/>
  <c r="K304" i="3"/>
  <c r="K303" i="3"/>
  <c r="K302" i="3"/>
  <c r="K301" i="3"/>
  <c r="K300" i="3"/>
  <c r="K299" i="3"/>
  <c r="K298" i="3"/>
  <c r="K297" i="3"/>
  <c r="K296" i="3"/>
  <c r="K295" i="3"/>
  <c r="K294" i="3"/>
  <c r="K293" i="3"/>
  <c r="K292" i="3"/>
  <c r="K291" i="3"/>
  <c r="K290" i="3"/>
  <c r="K289" i="3"/>
  <c r="K288" i="3"/>
  <c r="K287" i="3"/>
  <c r="K286" i="3"/>
  <c r="K285" i="3"/>
  <c r="K284" i="3"/>
  <c r="K283" i="3"/>
  <c r="K282" i="3"/>
  <c r="K281" i="3"/>
  <c r="K280" i="3"/>
  <c r="K279" i="3"/>
  <c r="K278" i="3"/>
  <c r="K277" i="3"/>
  <c r="K276" i="3"/>
  <c r="K275" i="3"/>
  <c r="K274" i="3"/>
  <c r="K273" i="3"/>
  <c r="K272" i="3"/>
  <c r="K271" i="3"/>
  <c r="K270" i="3"/>
  <c r="K269" i="3"/>
  <c r="K268" i="3"/>
  <c r="K267" i="3"/>
  <c r="K266" i="3"/>
  <c r="K265" i="3"/>
  <c r="K264" i="3"/>
  <c r="K263" i="3"/>
  <c r="K262" i="3"/>
  <c r="K261" i="3"/>
  <c r="K260" i="3"/>
  <c r="K259" i="3"/>
  <c r="K258" i="3"/>
  <c r="K257" i="3"/>
  <c r="K256" i="3"/>
  <c r="K255" i="3"/>
  <c r="K254" i="3"/>
  <c r="K253" i="3"/>
  <c r="K252" i="3"/>
  <c r="K251" i="3"/>
  <c r="K250" i="3"/>
  <c r="K249" i="3"/>
  <c r="K248" i="3"/>
  <c r="K247" i="3"/>
  <c r="K246" i="3"/>
  <c r="K245" i="3"/>
  <c r="K244" i="3"/>
  <c r="K243" i="3"/>
  <c r="K242" i="3"/>
  <c r="K241" i="3"/>
  <c r="K240" i="3"/>
  <c r="K239" i="3"/>
  <c r="K238" i="3"/>
  <c r="K237" i="3"/>
  <c r="K236" i="3"/>
  <c r="K235" i="3"/>
  <c r="K234" i="3"/>
  <c r="K233" i="3"/>
  <c r="K232" i="3"/>
  <c r="K231" i="3"/>
  <c r="K230" i="3"/>
  <c r="K229" i="3"/>
  <c r="K228" i="3"/>
  <c r="K227" i="3"/>
  <c r="K226" i="3"/>
  <c r="K225" i="3"/>
  <c r="K224" i="3"/>
  <c r="K223" i="3"/>
  <c r="K222" i="3"/>
  <c r="K221" i="3"/>
  <c r="K220" i="3"/>
  <c r="K219" i="3"/>
  <c r="K218" i="3"/>
  <c r="K217" i="3"/>
  <c r="K216" i="3"/>
  <c r="K215" i="3"/>
  <c r="K214" i="3"/>
  <c r="K213" i="3"/>
  <c r="K212" i="3"/>
  <c r="K211" i="3"/>
  <c r="K210" i="3"/>
  <c r="K209" i="3"/>
  <c r="K208" i="3"/>
  <c r="K207" i="3"/>
  <c r="K206" i="3"/>
  <c r="K205" i="3"/>
  <c r="K204" i="3"/>
  <c r="K203" i="3"/>
  <c r="K202" i="3"/>
  <c r="K201" i="3"/>
  <c r="K200" i="3"/>
  <c r="K199" i="3"/>
  <c r="K198" i="3"/>
  <c r="K197" i="3"/>
  <c r="K196" i="3"/>
  <c r="K195" i="3"/>
  <c r="K194" i="3"/>
  <c r="K193" i="3"/>
  <c r="K192" i="3"/>
  <c r="K191" i="3"/>
  <c r="K190" i="3"/>
  <c r="K189" i="3"/>
  <c r="K188" i="3"/>
  <c r="K187" i="3"/>
  <c r="K186" i="3"/>
  <c r="K185" i="3"/>
  <c r="K184" i="3"/>
  <c r="K183" i="3"/>
  <c r="K182" i="3"/>
  <c r="K181" i="3"/>
  <c r="K180" i="3"/>
  <c r="K179" i="3"/>
  <c r="K178" i="3"/>
  <c r="K177" i="3"/>
  <c r="K176" i="3"/>
  <c r="K175" i="3"/>
  <c r="K174" i="3"/>
  <c r="K173" i="3"/>
  <c r="K172" i="3"/>
  <c r="K171" i="3"/>
  <c r="K170" i="3"/>
  <c r="K169" i="3"/>
  <c r="K168" i="3"/>
  <c r="K167" i="3"/>
  <c r="K166" i="3"/>
  <c r="K165" i="3"/>
  <c r="K164" i="3"/>
  <c r="K163" i="3"/>
  <c r="K162" i="3"/>
  <c r="K161" i="3"/>
  <c r="K160" i="3"/>
  <c r="K159" i="3"/>
  <c r="K158" i="3"/>
  <c r="K157" i="3"/>
  <c r="K156" i="3"/>
  <c r="K155" i="3"/>
  <c r="K154" i="3"/>
  <c r="K153" i="3"/>
  <c r="K152" i="3"/>
  <c r="K151" i="3"/>
  <c r="K150" i="3"/>
  <c r="K149" i="3"/>
  <c r="K148" i="3"/>
  <c r="K147" i="3"/>
  <c r="K146" i="3"/>
  <c r="K145" i="3"/>
  <c r="K144" i="3"/>
  <c r="K143" i="3"/>
  <c r="K142" i="3"/>
  <c r="K141" i="3"/>
  <c r="K140" i="3"/>
  <c r="K139" i="3"/>
  <c r="K138" i="3"/>
  <c r="K137" i="3"/>
  <c r="K136" i="3"/>
  <c r="K135" i="3"/>
  <c r="K134" i="3"/>
  <c r="K133" i="3"/>
  <c r="K132" i="3"/>
  <c r="K131" i="3"/>
  <c r="K130" i="3"/>
  <c r="K129" i="3"/>
  <c r="K128" i="3"/>
  <c r="K127" i="3"/>
  <c r="K126" i="3"/>
  <c r="K125" i="3"/>
  <c r="K124" i="3"/>
  <c r="K123" i="3"/>
  <c r="K122" i="3"/>
  <c r="K121" i="3"/>
  <c r="K120" i="3"/>
  <c r="K119" i="3"/>
  <c r="K118" i="3"/>
  <c r="K117" i="3"/>
  <c r="K116" i="3"/>
  <c r="K115" i="3"/>
  <c r="K114" i="3"/>
  <c r="K113" i="3"/>
  <c r="K112" i="3"/>
  <c r="K111" i="3"/>
  <c r="K110" i="3"/>
  <c r="K109" i="3"/>
  <c r="K108" i="3"/>
  <c r="K107" i="3"/>
  <c r="K106" i="3"/>
  <c r="K105" i="3"/>
  <c r="K104" i="3"/>
  <c r="K103" i="3"/>
  <c r="K102" i="3"/>
  <c r="K101" i="3"/>
  <c r="K100" i="3"/>
  <c r="K99" i="3"/>
  <c r="K98" i="3"/>
  <c r="K97" i="3"/>
  <c r="K96" i="3"/>
  <c r="K95" i="3"/>
  <c r="K94" i="3"/>
  <c r="K93" i="3"/>
  <c r="K92" i="3"/>
  <c r="K91" i="3"/>
  <c r="K90" i="3"/>
  <c r="K89" i="3"/>
  <c r="K88" i="3"/>
  <c r="K87" i="3"/>
  <c r="K86" i="3"/>
  <c r="K85" i="3"/>
  <c r="K84" i="3"/>
  <c r="K83" i="3"/>
  <c r="K82" i="3"/>
  <c r="K81" i="3"/>
  <c r="K80" i="3"/>
  <c r="K79" i="3"/>
  <c r="K78" i="3"/>
  <c r="K77" i="3"/>
  <c r="K76" i="3"/>
  <c r="K75" i="3"/>
  <c r="K74" i="3"/>
  <c r="K73" i="3"/>
  <c r="K72" i="3"/>
  <c r="K71" i="3"/>
  <c r="K70" i="3"/>
  <c r="K69" i="3"/>
  <c r="K68" i="3"/>
  <c r="K67" i="3"/>
  <c r="K66" i="3"/>
  <c r="K65" i="3"/>
  <c r="K64" i="3"/>
  <c r="K63" i="3"/>
  <c r="K62" i="3"/>
  <c r="K61" i="3"/>
  <c r="K60" i="3"/>
  <c r="K59" i="3"/>
  <c r="K58" i="3"/>
  <c r="K57" i="3"/>
  <c r="K56" i="3"/>
  <c r="K55" i="3"/>
  <c r="K54" i="3"/>
  <c r="K53" i="3"/>
  <c r="K52" i="3"/>
  <c r="K51" i="3"/>
  <c r="K50" i="3"/>
  <c r="K49" i="3"/>
  <c r="K48" i="3"/>
  <c r="K47" i="3"/>
  <c r="K46" i="3"/>
  <c r="K45" i="3"/>
  <c r="K44" i="3"/>
  <c r="K43" i="3"/>
  <c r="K42" i="3"/>
  <c r="K41" i="3"/>
  <c r="K40" i="3"/>
  <c r="K39" i="3"/>
  <c r="K38" i="3"/>
  <c r="K37" i="3"/>
  <c r="K36" i="3"/>
  <c r="K35" i="3"/>
  <c r="K34" i="3"/>
  <c r="K33" i="3"/>
  <c r="K32" i="3"/>
  <c r="K31" i="3"/>
  <c r="K30" i="3"/>
  <c r="K29" i="3"/>
  <c r="K28" i="3"/>
  <c r="K27" i="3"/>
  <c r="K26" i="3"/>
  <c r="K25" i="3"/>
  <c r="K24" i="3"/>
  <c r="K23" i="3"/>
  <c r="K22" i="3"/>
  <c r="K21" i="3"/>
  <c r="K20" i="3"/>
  <c r="K19" i="3"/>
  <c r="K18" i="3"/>
  <c r="K17" i="3"/>
  <c r="K16" i="3"/>
  <c r="K15" i="3"/>
  <c r="K14" i="3"/>
  <c r="K13" i="3"/>
  <c r="K12" i="3"/>
  <c r="K11" i="3"/>
  <c r="K10" i="3"/>
  <c r="K9" i="3"/>
  <c r="K8" i="3"/>
  <c r="K7" i="3"/>
  <c r="K6" i="3"/>
  <c r="K5" i="3"/>
  <c r="K4" i="3"/>
  <c r="K3" i="3"/>
  <c r="K2" i="3"/>
  <c r="G498" i="2"/>
  <c r="E498" i="2"/>
  <c r="K406" i="2"/>
  <c r="K405" i="2"/>
  <c r="K404" i="2"/>
  <c r="K403" i="2"/>
  <c r="K402" i="2"/>
  <c r="K401" i="2"/>
  <c r="K400" i="2"/>
  <c r="K399" i="2"/>
  <c r="K398" i="2"/>
  <c r="K397" i="2"/>
  <c r="K396" i="2"/>
  <c r="K395" i="2"/>
  <c r="K394" i="2"/>
  <c r="K393" i="2"/>
  <c r="K392" i="2"/>
  <c r="K391" i="2"/>
  <c r="K390" i="2"/>
  <c r="K389" i="2"/>
  <c r="K388" i="2"/>
  <c r="K387" i="2"/>
  <c r="K386" i="2"/>
  <c r="K385" i="2"/>
  <c r="K384" i="2"/>
  <c r="K383" i="2"/>
  <c r="K382" i="2"/>
  <c r="K381" i="2"/>
  <c r="K380" i="2"/>
  <c r="K379" i="2"/>
  <c r="K378" i="2"/>
  <c r="K377" i="2"/>
  <c r="K376" i="2"/>
  <c r="K375" i="2"/>
  <c r="K374" i="2"/>
  <c r="K373" i="2"/>
  <c r="K372" i="2"/>
  <c r="K371" i="2"/>
  <c r="K370" i="2"/>
  <c r="K369" i="2"/>
  <c r="K368" i="2"/>
  <c r="K367" i="2"/>
  <c r="K366" i="2"/>
  <c r="K365" i="2"/>
  <c r="K364" i="2"/>
  <c r="K363" i="2"/>
  <c r="K362" i="2"/>
  <c r="K361" i="2"/>
  <c r="K360" i="2"/>
  <c r="K359" i="2"/>
  <c r="K358" i="2"/>
  <c r="K357" i="2"/>
  <c r="K356" i="2"/>
  <c r="K355" i="2"/>
  <c r="K354" i="2"/>
  <c r="K353" i="2"/>
  <c r="K352" i="2"/>
  <c r="K351" i="2"/>
  <c r="K350" i="2"/>
  <c r="K349" i="2"/>
  <c r="K348" i="2"/>
  <c r="K347" i="2"/>
  <c r="K346" i="2"/>
  <c r="K345" i="2"/>
  <c r="K344" i="2"/>
  <c r="K343" i="2"/>
  <c r="K342" i="2"/>
  <c r="K341" i="2"/>
  <c r="K340" i="2"/>
  <c r="K339" i="2"/>
  <c r="K338" i="2"/>
  <c r="K337" i="2"/>
  <c r="K336" i="2"/>
  <c r="K335" i="2"/>
  <c r="K334" i="2"/>
  <c r="K333" i="2"/>
  <c r="K332" i="2"/>
  <c r="K331" i="2"/>
  <c r="K330" i="2"/>
  <c r="K329" i="2"/>
  <c r="K328" i="2"/>
  <c r="K327" i="2"/>
  <c r="K326" i="2"/>
  <c r="K325" i="2"/>
  <c r="K324" i="2"/>
  <c r="K323" i="2"/>
  <c r="K322" i="2"/>
  <c r="K321" i="2"/>
  <c r="K320" i="2"/>
  <c r="K319" i="2"/>
  <c r="K318" i="2"/>
  <c r="K317" i="2"/>
  <c r="K316" i="2"/>
  <c r="K315" i="2"/>
  <c r="K314" i="2"/>
  <c r="K313" i="2"/>
  <c r="K312" i="2"/>
  <c r="K311" i="2"/>
  <c r="K310" i="2"/>
  <c r="K309" i="2"/>
  <c r="K308" i="2"/>
  <c r="K307" i="2"/>
  <c r="K306" i="2"/>
  <c r="K305" i="2"/>
  <c r="K304" i="2"/>
  <c r="K303" i="2"/>
  <c r="K302" i="2"/>
  <c r="K301" i="2"/>
  <c r="K300" i="2"/>
  <c r="K299" i="2"/>
  <c r="K298" i="2"/>
  <c r="K297" i="2"/>
  <c r="K296" i="2"/>
  <c r="K295" i="2"/>
  <c r="K294" i="2"/>
  <c r="K293" i="2"/>
  <c r="K292" i="2"/>
  <c r="K291" i="2"/>
  <c r="K290" i="2"/>
  <c r="K289" i="2"/>
  <c r="K288" i="2"/>
  <c r="K287" i="2"/>
  <c r="K286" i="2"/>
  <c r="K285" i="2"/>
  <c r="K284" i="2"/>
  <c r="K283" i="2"/>
  <c r="K282" i="2"/>
  <c r="K281" i="2"/>
  <c r="K280" i="2"/>
  <c r="K279" i="2"/>
  <c r="K278" i="2"/>
  <c r="K277" i="2"/>
  <c r="K276" i="2"/>
  <c r="K275" i="2"/>
  <c r="K274" i="2"/>
  <c r="K273" i="2"/>
  <c r="K272" i="2"/>
  <c r="K271" i="2"/>
  <c r="K270" i="2"/>
  <c r="K269" i="2"/>
  <c r="K268" i="2"/>
  <c r="K267" i="2"/>
  <c r="K266" i="2"/>
  <c r="K265" i="2"/>
  <c r="K264" i="2"/>
  <c r="K263" i="2"/>
  <c r="K262" i="2"/>
  <c r="K261" i="2"/>
  <c r="K260" i="2"/>
  <c r="K259" i="2"/>
  <c r="K258" i="2"/>
  <c r="K257" i="2"/>
  <c r="K256" i="2"/>
  <c r="K255" i="2"/>
  <c r="K254" i="2"/>
  <c r="K253" i="2"/>
  <c r="K252" i="2"/>
  <c r="K251" i="2"/>
  <c r="K250" i="2"/>
  <c r="K249" i="2"/>
  <c r="K248" i="2"/>
  <c r="K247" i="2"/>
  <c r="K246" i="2"/>
  <c r="K245" i="2"/>
  <c r="K244" i="2"/>
  <c r="K243" i="2"/>
  <c r="K242" i="2"/>
  <c r="K241" i="2"/>
  <c r="K240" i="2"/>
  <c r="K239" i="2"/>
  <c r="K238" i="2"/>
  <c r="K237" i="2"/>
  <c r="K236" i="2"/>
  <c r="K235" i="2"/>
  <c r="K234" i="2"/>
  <c r="K233" i="2"/>
  <c r="K232" i="2"/>
  <c r="K231" i="2"/>
  <c r="K230" i="2"/>
  <c r="K229" i="2"/>
  <c r="K228" i="2"/>
  <c r="K227" i="2"/>
  <c r="K226" i="2"/>
  <c r="K225" i="2"/>
  <c r="K224" i="2"/>
  <c r="K223" i="2"/>
  <c r="K222" i="2"/>
  <c r="K221" i="2"/>
  <c r="K220" i="2"/>
  <c r="K219" i="2"/>
  <c r="K218" i="2"/>
  <c r="K217" i="2"/>
  <c r="K216" i="2"/>
  <c r="K215" i="2"/>
  <c r="K214" i="2"/>
  <c r="K213" i="2"/>
  <c r="K212" i="2"/>
  <c r="K211" i="2"/>
  <c r="K210" i="2"/>
  <c r="K209" i="2"/>
  <c r="K208" i="2"/>
  <c r="K207" i="2"/>
  <c r="K206" i="2"/>
  <c r="K205" i="2"/>
  <c r="K204" i="2"/>
  <c r="K203" i="2"/>
  <c r="K202" i="2"/>
  <c r="K201" i="2"/>
  <c r="K200" i="2"/>
  <c r="K199" i="2"/>
  <c r="K198" i="2"/>
  <c r="K197" i="2"/>
  <c r="K196" i="2"/>
  <c r="K195" i="2"/>
  <c r="K194" i="2"/>
  <c r="K193" i="2"/>
  <c r="K192" i="2"/>
  <c r="K191" i="2"/>
  <c r="K190" i="2"/>
  <c r="K189" i="2"/>
  <c r="K188" i="2"/>
  <c r="K187" i="2"/>
  <c r="K186" i="2"/>
  <c r="K185" i="2"/>
  <c r="K184" i="2"/>
  <c r="K183" i="2"/>
  <c r="K182" i="2"/>
  <c r="K181" i="2"/>
  <c r="K180" i="2"/>
  <c r="K179" i="2"/>
  <c r="K178" i="2"/>
  <c r="K177" i="2"/>
  <c r="K176" i="2"/>
  <c r="K175" i="2"/>
  <c r="K174" i="2"/>
  <c r="K173" i="2"/>
  <c r="K172" i="2"/>
  <c r="K171" i="2"/>
  <c r="K170" i="2"/>
  <c r="K169" i="2"/>
  <c r="K168" i="2"/>
  <c r="K167" i="2"/>
  <c r="K166" i="2"/>
  <c r="K165" i="2"/>
  <c r="K164" i="2"/>
  <c r="K163" i="2"/>
  <c r="K162" i="2"/>
  <c r="K161" i="2"/>
  <c r="K160" i="2"/>
  <c r="K159" i="2"/>
  <c r="K158" i="2"/>
  <c r="K157" i="2"/>
  <c r="K156" i="2"/>
  <c r="K155" i="2"/>
  <c r="K154" i="2"/>
  <c r="K153" i="2"/>
  <c r="K152" i="2"/>
  <c r="K151" i="2"/>
  <c r="K150" i="2"/>
  <c r="K149" i="2"/>
  <c r="K148" i="2"/>
  <c r="K147" i="2"/>
  <c r="K146" i="2"/>
  <c r="K145" i="2"/>
  <c r="K144" i="2"/>
  <c r="K143" i="2"/>
  <c r="K142" i="2"/>
  <c r="K141" i="2"/>
  <c r="K140" i="2"/>
  <c r="K139" i="2"/>
  <c r="K138" i="2"/>
  <c r="K137" i="2"/>
  <c r="K136" i="2"/>
  <c r="K135" i="2"/>
  <c r="K134" i="2"/>
  <c r="K133" i="2"/>
  <c r="K132" i="2"/>
  <c r="K131" i="2"/>
  <c r="K130" i="2"/>
  <c r="K129" i="2"/>
  <c r="K128" i="2"/>
  <c r="K127" i="2"/>
  <c r="K126" i="2"/>
  <c r="K125" i="2"/>
  <c r="K124" i="2"/>
  <c r="K123" i="2"/>
  <c r="K122" i="2"/>
  <c r="K121" i="2"/>
  <c r="K120" i="2"/>
  <c r="K119" i="2"/>
  <c r="K118" i="2"/>
  <c r="K117" i="2"/>
  <c r="K116" i="2"/>
  <c r="K115" i="2"/>
  <c r="K114" i="2"/>
  <c r="K113" i="2"/>
  <c r="K112" i="2"/>
  <c r="K111" i="2"/>
  <c r="K110" i="2"/>
  <c r="K109" i="2"/>
  <c r="K108" i="2"/>
  <c r="K107" i="2"/>
  <c r="K106" i="2"/>
  <c r="K105" i="2"/>
  <c r="K104" i="2"/>
  <c r="K103" i="2"/>
  <c r="K102" i="2"/>
  <c r="K101" i="2"/>
  <c r="K100" i="2"/>
  <c r="K99" i="2"/>
  <c r="K98" i="2"/>
  <c r="K97" i="2"/>
  <c r="K96" i="2"/>
  <c r="K95" i="2"/>
  <c r="K94" i="2"/>
  <c r="K93" i="2"/>
  <c r="K92" i="2"/>
  <c r="K91" i="2"/>
  <c r="K90" i="2"/>
  <c r="K89" i="2"/>
  <c r="K88" i="2"/>
  <c r="K87" i="2"/>
  <c r="K86" i="2"/>
  <c r="K85" i="2"/>
  <c r="K84" i="2"/>
  <c r="K83" i="2"/>
  <c r="K82" i="2"/>
  <c r="K81" i="2"/>
  <c r="K80" i="2"/>
  <c r="K79" i="2"/>
  <c r="K78" i="2"/>
  <c r="K77" i="2"/>
  <c r="K76" i="2"/>
  <c r="K75" i="2"/>
  <c r="K74" i="2"/>
  <c r="K73" i="2"/>
  <c r="K72" i="2"/>
  <c r="K71" i="2"/>
  <c r="K70" i="2"/>
  <c r="K69" i="2"/>
  <c r="K68" i="2"/>
  <c r="K67" i="2"/>
  <c r="K66" i="2"/>
  <c r="K65" i="2"/>
  <c r="K64" i="2"/>
  <c r="K63" i="2"/>
  <c r="K62" i="2"/>
  <c r="K61" i="2"/>
  <c r="K60" i="2"/>
  <c r="K59" i="2"/>
  <c r="K58" i="2"/>
  <c r="K57" i="2"/>
  <c r="K56" i="2"/>
  <c r="K55" i="2"/>
  <c r="K54" i="2"/>
  <c r="K53" i="2"/>
  <c r="K52" i="2"/>
  <c r="K51" i="2"/>
  <c r="K50" i="2"/>
  <c r="K49" i="2"/>
  <c r="K48" i="2"/>
  <c r="K47" i="2"/>
  <c r="K46" i="2"/>
  <c r="K45" i="2"/>
  <c r="K44" i="2"/>
  <c r="K43" i="2"/>
  <c r="K42" i="2"/>
  <c r="K41" i="2"/>
  <c r="K40" i="2"/>
  <c r="K39" i="2"/>
  <c r="K38" i="2"/>
  <c r="K37" i="2"/>
  <c r="K36" i="2"/>
  <c r="K35" i="2"/>
  <c r="K34" i="2"/>
  <c r="K33" i="2"/>
  <c r="K32" i="2"/>
  <c r="K31" i="2"/>
  <c r="K30" i="2"/>
  <c r="K29" i="2"/>
  <c r="K28" i="2"/>
  <c r="K27" i="2"/>
  <c r="K26" i="2"/>
  <c r="K25" i="2"/>
  <c r="K24" i="2"/>
  <c r="K23" i="2"/>
  <c r="K22" i="2"/>
  <c r="K21" i="2"/>
  <c r="K20" i="2"/>
  <c r="K19" i="2"/>
  <c r="K18" i="2"/>
  <c r="K17" i="2"/>
  <c r="K16" i="2"/>
  <c r="K15" i="2"/>
  <c r="K14" i="2"/>
  <c r="K13" i="2"/>
  <c r="K12" i="2"/>
  <c r="K11" i="2"/>
  <c r="K10" i="2"/>
  <c r="K9" i="2"/>
  <c r="K8" i="2"/>
  <c r="K7" i="2"/>
  <c r="K6" i="2"/>
  <c r="K5" i="2"/>
  <c r="K4" i="2"/>
  <c r="K3" i="2"/>
  <c r="K2" i="2"/>
  <c r="E10" i="1"/>
  <c r="D10" i="1"/>
  <c r="C10" i="1"/>
</calcChain>
</file>

<file path=xl/sharedStrings.xml><?xml version="1.0" encoding="utf-8"?>
<sst xmlns="http://schemas.openxmlformats.org/spreadsheetml/2006/main" count="7396" uniqueCount="1623">
  <si>
    <t>Sunham CLOSEOUT Sunham FullQueen 3- Gray Ogee FullQueen</t>
  </si>
  <si>
    <t>Serta Serta Protection Plus Mattress White King</t>
  </si>
  <si>
    <t>Caro Home Madagascar 28 x 54 Bath Towe Neutral Bath Towels</t>
  </si>
  <si>
    <t>ienjoy Home Home Collection Premium Ultra Gray KingCalifornia King</t>
  </si>
  <si>
    <t>Avanti Braided Cuff Fingertip Towel Rattan Fingertip Towels</t>
  </si>
  <si>
    <t>TAUPE</t>
  </si>
  <si>
    <t>Avanti Initial Script Ivory and Gold M</t>
  </si>
  <si>
    <t>Avanti Friendly Gathering Cotton Embr White</t>
  </si>
  <si>
    <t>Avanti Braided Medallion Colorblocked Avanti Braided Medallion Showe</t>
  </si>
  <si>
    <t>Avanti Avanti Destin Tissue Cover Multi ONE SIZE</t>
  </si>
  <si>
    <t>Elrene Window Treatments, Versailles Gold 52x36</t>
  </si>
  <si>
    <t>Elrene Medalia 52 x 95 Panel Dark Gray 52x95</t>
  </si>
  <si>
    <t>Elrene Elrene Athena Rod Pocket 52 x Gold 52x95</t>
  </si>
  <si>
    <t>Elrene Elrene Athena Rod Pocket 52 x Ivory 52x95</t>
  </si>
  <si>
    <t>Elrene Elrene Mia Jacquard 52 x 84 Rouge 52x84</t>
  </si>
  <si>
    <t>Elrene Elrene Mia Jacquard 52 x 95 Rouge 52x95</t>
  </si>
  <si>
    <t>Elrene Elrene Mia Jacquard 52 x 19 Rouge 52x19</t>
  </si>
  <si>
    <t>Elrene Antonia 52 x 95 Blackout Win Rouge 52x95</t>
  </si>
  <si>
    <t>Elrene Elrene Antonia 52 x 84 Black Silver 52x84</t>
  </si>
  <si>
    <t>Elrene Bianca Cotton 52 x 84 Window WhiteWhite 52x84</t>
  </si>
  <si>
    <t>Sun Zero Sun Zero Grant 54 x 63 Gromm Brick 54x63</t>
  </si>
  <si>
    <t>Sun Zero Sun Zero Grant 100 x 84 Grom Brick 100x84</t>
  </si>
  <si>
    <t>Sun Zero Sun Zero Preston 40 x 84 Gro Charcoal 40x84</t>
  </si>
  <si>
    <t>Sun Zero Sun Zero Preston 40 x 84 Gro Mineral 40x84</t>
  </si>
  <si>
    <t>No. 918 No. 918 Sheer Voile Sidelight Charcoal 28x72</t>
  </si>
  <si>
    <t>Sun Zero Lawson 54 x 84 Distressed Gl Indigo 54x84</t>
  </si>
  <si>
    <t>No. 918 Amalfi Linen Blend Textured Sh Ivory 54x84</t>
  </si>
  <si>
    <t>Sun Zero Sun Zero Preston 40 x 63 Tab Stone 40x63</t>
  </si>
  <si>
    <t>Sun Zero Oslo 52 x 84 Theater Grade E Taupe 52x84</t>
  </si>
  <si>
    <t>Sun Zero Sun Zero Grant 54 x 72 Door Mocha 54x72</t>
  </si>
  <si>
    <t>Sun Zero Oslo 52 x 84 Theater Grade E Wine 52x84</t>
  </si>
  <si>
    <t>Sun Zero Evelina Faux Silk 50 x 95 Th Grey 50x95</t>
  </si>
  <si>
    <t>No. 918 No. 918 Tamaryn Embroidered 50 Ivory 50x84</t>
  </si>
  <si>
    <t>Sun Zero Cyrus 40 x 84 Thermal Blacko White 40x84</t>
  </si>
  <si>
    <t>Scott Living Renato 50 x 84 Linen Blend C Gray 50x84</t>
  </si>
  <si>
    <t>Sun Zero Sun Zero Cyrus Thermal Blackou Soft Gold-Tone 40x96</t>
  </si>
  <si>
    <t>Sun Zero Sun Zero Saxon Blackout Gromme Stone 54 x 120</t>
  </si>
  <si>
    <t>No. 918 No. 918 Calypso Voile Sheer Gr Royal Blue 59x84</t>
  </si>
  <si>
    <t>Disney Princess 2-Pk. Squishy 12 Squ Princess KindLove</t>
  </si>
  <si>
    <t>Hasbro Twister Game Blanket Twister Standard</t>
  </si>
  <si>
    <t>Waterford EVERETT TEAL REVERSIBLE KING 4 Teal King</t>
  </si>
  <si>
    <t>Waterford Garner Euro Sham Sage European</t>
  </si>
  <si>
    <t>Peri Home Cut Geo Cotton King Duvet Cove Grey King</t>
  </si>
  <si>
    <t>Michael Aram After the Storm Bath Towel Grey Bath Towels</t>
  </si>
  <si>
    <t>Michael Aram After the Storm Hand Towel Grey Hand Towels</t>
  </si>
  <si>
    <t>Michael Aram After the Storm Washcloth Grey ONE SIZE</t>
  </si>
  <si>
    <t>Kenney Twist Fit No Tools Decorative Soft Brass</t>
  </si>
  <si>
    <t>Tommy Hilfiger Modern American 30 x 54 Cott Botanical Garden Bath Towels</t>
  </si>
  <si>
    <t>Tommy Hilfiger Modern American 30 x 54 Cott Swedish Blue Bath Towels</t>
  </si>
  <si>
    <t>Tommy Hilfiger Modern American 16 x 26 Cott Blue Hand Towels</t>
  </si>
  <si>
    <t>Sure Fit Sure Fit Memory Foam Twin Matt White Full</t>
  </si>
  <si>
    <t>Achim Fairfield 55x84 WH Burgundy 55x84</t>
  </si>
  <si>
    <t>Achim MasonJars 57x24 ML Blackwhite ONE SIZE</t>
  </si>
  <si>
    <t>Lauren Ralph Lauren Lauren Ralph Lauren Waller Bla Silver ONE SIZE</t>
  </si>
  <si>
    <t>CHF Clover 58 x 24 Pair of Tier Green 58x24</t>
  </si>
  <si>
    <t>Serta Serta Simply Clean Antimicrobi White Queen</t>
  </si>
  <si>
    <t>Harbor House Anslee 12 x 20 Embroidered O Taupe</t>
  </si>
  <si>
    <t>JLA Home Intelligent Design Lorna Full Aqua Full</t>
  </si>
  <si>
    <t>Madison Park Emory 6-Pc. FullQueen Duvet S Grey FullQueen</t>
  </si>
  <si>
    <t>Hotel Collection Egyptian Cotton King Blanket Ivory Twin</t>
  </si>
  <si>
    <t>Decor Studio Elm Waffle 72 x 72 Shower Cu BeigeKhaki 72X72</t>
  </si>
  <si>
    <t>Sleep Philosophy Sleep Philosophy Velvet to Ber Blush 60x80</t>
  </si>
  <si>
    <t>Clean Spaces Living Clean Everyday 7-Pc. So Off Whitetaupe Queen</t>
  </si>
  <si>
    <t>Decor Studio Sylvan Watercolor Stripe 72 x Neutral No Size</t>
  </si>
  <si>
    <t>SunSmart Bentley 50 x 95 Ogee Jacquar Ivory 50x95</t>
  </si>
  <si>
    <t>Sanders 3 Piece Twin XL Size Solid Mic Light Blue Twin XL</t>
  </si>
  <si>
    <t>Sanders Ruffled Queen 7 Piece Comforte Charcoal Queen</t>
  </si>
  <si>
    <t>BioPEDIC BioPEDIC Fresh and Clean Pillo White Body Pillow</t>
  </si>
  <si>
    <t>SensorPEDIC SensorPEDIC Microshield King P White King</t>
  </si>
  <si>
    <t>SensorGel CoolFusion Firm Standard Pill White Standard</t>
  </si>
  <si>
    <t>SensorPEDIC Luxury Extraordinaire Gusseted White King</t>
  </si>
  <si>
    <t>SensorPEDIC SensorPEDIC Essentials Waterpr White Twin</t>
  </si>
  <si>
    <t>Lacourte You Had Me At Meow Decorative White No Size</t>
  </si>
  <si>
    <t>Levtex Sophia Floral Reversible King Coral King</t>
  </si>
  <si>
    <t>Levtex Levtex Home Rudolph Twin Quilt White Twin</t>
  </si>
  <si>
    <t>AQ Textiles Optimum Performance 625-Thread Blue King</t>
  </si>
  <si>
    <t>AQ Textiles Ultra Lux T800 Cotton 4 piece Grey King</t>
  </si>
  <si>
    <t>AQ Textiles Camden Sateen 1250-Thread Coun Blue King</t>
  </si>
  <si>
    <t>AQ Textiles Camden 1250 thread count 4 pc White California King</t>
  </si>
  <si>
    <t>Lush Decor Roesser Patchwork Cotton 3 Pie Multi FullQueen</t>
  </si>
  <si>
    <t>Charter Club Elite Hygro Cotton Bath Towel Cornflower Bath Towels</t>
  </si>
  <si>
    <t>Hotel Collection Greek Key Cotton FullQueen Du Black FullQueen</t>
  </si>
  <si>
    <t>SUPER LINE</t>
  </si>
  <si>
    <t>Homey Cozy Homey Cozy Jade Embroidery Squ Turquoise 20x20</t>
  </si>
  <si>
    <t>Homey Cozy Homey Cozy Curl Applique Embro Turquoise 20x20</t>
  </si>
  <si>
    <t>Kensington Garden Somerset 800 Thread Count Silv Blue King</t>
  </si>
  <si>
    <t>Kensington Garden Valencia T1000 Egyptian King B Navy King</t>
  </si>
  <si>
    <t>Home Details Home Details Crystal Ball Curt Brass 48-86in</t>
  </si>
  <si>
    <t>KENNEDY INTERNATIONAL INC</t>
  </si>
  <si>
    <t>Greenland Home Fashions Amber Window Valance Multi 52x36</t>
  </si>
  <si>
    <t>Hotel Collection Turkish 16 x 30 Hand Towel Steel Hand Towels</t>
  </si>
  <si>
    <t>Curtainworks Kendall Blackout 50 in. W x 10 Whitegrey 52x108</t>
  </si>
  <si>
    <t>Martha Stewart Collection Martha Stewart Lucca Velvet 50 Linen 50x84</t>
  </si>
  <si>
    <t>Curtainworks Curtainworks Vintage-Like Lemo Multi</t>
  </si>
  <si>
    <t>Infinity Home 3 PC Decorative Pillows and Th Blue</t>
  </si>
  <si>
    <t>Kindred Home 50 x 60 Honeycomb Knitted Th Navy Throw</t>
  </si>
  <si>
    <t>Elite Home Revina 6-Pc. King Sheet Set Denim King</t>
  </si>
  <si>
    <t>Elite Home Coastal Embroidered 4-Pc. King Summertime Fun Aqua Cal-King</t>
  </si>
  <si>
    <t>Elite Home Inspirational 4-Pc. King Sheet Aqua King</t>
  </si>
  <si>
    <t>Artscape Artscape Trellis Window Film Multi No Size</t>
  </si>
  <si>
    <t>ARTSCAPE INC</t>
  </si>
  <si>
    <t>Siscovers Siscovers Vintage Decorative P Lt Brown</t>
  </si>
  <si>
    <t>Siscovers Siscovers Padma Decorative Pil Night</t>
  </si>
  <si>
    <t>PoloGear pologear Calcutta Canary 16 D Med Yellow</t>
  </si>
  <si>
    <t>F. Scott Fitzgerald F Scott Fitzgerald Rendezvous Dark Grey</t>
  </si>
  <si>
    <t>Madison Park Palmer Microsuede 7-Pc. Queen Natural Queen</t>
  </si>
  <si>
    <t>Madison Park Laurel 7-Pc. King Comforter Se Ivory King</t>
  </si>
  <si>
    <t>Madison Park Larkspur Reversible 3-Pc. Full NavyBlue FullQueen</t>
  </si>
  <si>
    <t>Beautyrest Oversized Solid Microlight Rev Chocolate Throw</t>
  </si>
  <si>
    <t>HONEY</t>
  </si>
  <si>
    <t>Madison Park Madison Park Keaton 3-Piece Fu Khaki FullQueen</t>
  </si>
  <si>
    <t>Woolrich Anderson Faux-Fur 50 x 70 Pr Gray 50x70</t>
  </si>
  <si>
    <t>Madison Park Windom Twin Microfiber Down Al White Twin</t>
  </si>
  <si>
    <t>Sleep Philosophy Peyton Reversible 3-Pc. FullQ Grey FullQueen</t>
  </si>
  <si>
    <t>Madison Park 3M Microcell Twin XL 3-Pc Shee Blue Twin XL</t>
  </si>
  <si>
    <t>Madison Park Emilia 50 x 84 Lined Faux-Si Teal 50x84</t>
  </si>
  <si>
    <t>Madison Park Quebec Oversized Quilted Throw Ivory 60x70</t>
  </si>
  <si>
    <t>Madison Park Quebec Oversized Quilted Throw Blue 60x70</t>
  </si>
  <si>
    <t>INKIVY Reeve 50 x 60 Ruched Throw Gray 50x60</t>
  </si>
  <si>
    <t>Natori Sunita Cotton 7-Pc. KingCalif White KingCalifornia King</t>
  </si>
  <si>
    <t>Woolrich Buffalo Check 5-Pc. Daybed Bed Tan Daybed</t>
  </si>
  <si>
    <t>Woolrich Buffalo Check 5-Pc. Daybed Bed Gray Daybed</t>
  </si>
  <si>
    <t>Hallmart Collectibles Birena 9-Pc. Embroidered King Navy King</t>
  </si>
  <si>
    <t>FEATHER STITCH, NY 2-Pc. Cotton Bathrug Set Burgundy</t>
  </si>
  <si>
    <t>FEATHER STITCH, NY 2-Pc. Cotton Bathrug Set Navy</t>
  </si>
  <si>
    <t>Hotel Collection Lithos King Duvet Cover Grey King</t>
  </si>
  <si>
    <t>Hotel Collection Lithos King Comforter Grey King</t>
  </si>
  <si>
    <t>Hotel Collection Ultimate MicroCotton 30 x 5 Smoke Bath Towels</t>
  </si>
  <si>
    <t>Hotel Collection MicroCotton Plus 33 x 70 Bat Oat Bath Sheets</t>
  </si>
  <si>
    <t>Hotel Collection Ultimate MicroCotton 13 x 13 Rose Dust Washcloths</t>
  </si>
  <si>
    <t>Hotel Collection Borderline 30 x 56 Bath Towe Beige Bath Towels</t>
  </si>
  <si>
    <t>Hotel Collection Cotton 680 Thread Count Set of Sky Standard Pillowcase</t>
  </si>
  <si>
    <t>Martha Stewart Collection Spa Bath Towel Sandstone Bath Towels</t>
  </si>
  <si>
    <t>Hotel Collection Fresco Quilted King Coverlet Gold King Coverlet</t>
  </si>
  <si>
    <t>Charter Club Damask Supima Cotton 550-Threa Parchment Beige Full</t>
  </si>
  <si>
    <t>Charter Club Damask Supima Cotton 550-Threa Stone Dark Grey Standard Pillowcase</t>
  </si>
  <si>
    <t>Charter Club Damask Stripe Supima Cotton 55 Vapor Light Blue Queen</t>
  </si>
  <si>
    <t>Charter Club Damask Stripe Supima Cotton 55 Glacier Light Green Twin</t>
  </si>
  <si>
    <t>Charter Club Damask Supima Cotton 550-Threa White California King</t>
  </si>
  <si>
    <t>Charter Club Ultra Fine Cotton 800-Thread C Linen Light Taupe Queen</t>
  </si>
  <si>
    <t>Charter Club Ultra Fine Cotton 800-Thread C White Standard Pillowcase</t>
  </si>
  <si>
    <t>Payton Payton 2 High Density Foam Ma Beige King</t>
  </si>
  <si>
    <t>CONTINENTAL SLEEP/COMFORT BEDDING</t>
  </si>
  <si>
    <t>Hotel Collection Plume Quilted King Sham White King Sham</t>
  </si>
  <si>
    <t>Martha Stewart Collection Solid Open Stock 400-Thread Co Pool Blue Full Flat</t>
  </si>
  <si>
    <t>Martha Stewart Collection Solid Open Stock 400-Thread Co Latte Tan Queen Flat</t>
  </si>
  <si>
    <t>Charter Club Damask Stripe Cotton 550-Threa Smoke Grey Twin Flat</t>
  </si>
  <si>
    <t>Hotel Collection Luxe King Mattress Pad White King</t>
  </si>
  <si>
    <t>Hotel Collection Classic White Shop 14 x 26 D White Rectangle Decorative Pillow</t>
  </si>
  <si>
    <t>Hotel Collection Classic Egyptian Cotton 400-Th Camel Queen</t>
  </si>
  <si>
    <t>Hotel Collection CLOSEOUT Hotel Collection Lin Black FullQueen</t>
  </si>
  <si>
    <t>Martha Stewart Collection Flourish Velvet Quilted Standa Dusty Blue Standard Sham</t>
  </si>
  <si>
    <t>Charter Club Damask Thin Stripe Cotton 550- Pomegranate Burgundy Twin</t>
  </si>
  <si>
    <t>Charter Club Damask Cotton 550-Thread Count White King</t>
  </si>
  <si>
    <t>Hotel Collection Hotel Collection Terra Sham, E Grey European Sham</t>
  </si>
  <si>
    <t>Hotel Collection Hotel Collection Terra Euro Sh Grey European Sham</t>
  </si>
  <si>
    <t>Hotel Collection Hotel Collection Classic 100 White Standard Pillowcase</t>
  </si>
  <si>
    <t>Charter Club Damask Supima Cotton 550-Threa Neo Natural King Pillowcase</t>
  </si>
  <si>
    <t>Charter Club Damask Pima Cotton 550-Thread Neo Natural King</t>
  </si>
  <si>
    <t>Hotel Collection CLOSEOUT Hotel Collection Art White Queen Bedskirt</t>
  </si>
  <si>
    <t>Hotel Collection Hotel Collection Primativa Sha Silver Standard Sham</t>
  </si>
  <si>
    <t>Hotel Collection Hotel Collection Petal Sham, S Lightpastel Standard Sham</t>
  </si>
  <si>
    <t>Hotel Collection Hotel Collection Petal Quilted Lightpastel Standard Sham</t>
  </si>
  <si>
    <t>Charter Club Charter Club Sleep Soft 300-Th Blue Steel King</t>
  </si>
  <si>
    <t>Home Design Hand Towel Sandstone Hand Towels</t>
  </si>
  <si>
    <t>Home Design Cotton 13 x 13 Wash Towel Dove Washcloths</t>
  </si>
  <si>
    <t>Charter Club Damask Cotton 210-Thread Count Smoke FullQueen</t>
  </si>
  <si>
    <t>Whim by Martha Stewart Whim by Martha Stewart Collect White FullQueen</t>
  </si>
  <si>
    <t>Whim by Martha Stewart Whim by Martha Stewart Collect White KingCalifornia King</t>
  </si>
  <si>
    <t>Hotel Collection Hotel Collection Tessellate Eu Lightpastel Gr European Sham</t>
  </si>
  <si>
    <t>Whim by Martha Stewart Crushed Velvet 54 x 20 Body Blue</t>
  </si>
  <si>
    <t>Hotel Collection Feather Core Down Surround Fir White Standard</t>
  </si>
  <si>
    <t>Martha Stewart Collection Solid Faux Fur Throw Ivory 50x60</t>
  </si>
  <si>
    <t>Whim by Martha Stewart Printed Plush Throw Make Up Throw</t>
  </si>
  <si>
    <t>Hotel Collection Channels Velvet King Sham, Cre White King Sham</t>
  </si>
  <si>
    <t>Charter Club Cotton Matelasse Ribbed 3-Pc. White King</t>
  </si>
  <si>
    <t>Charter Club Damask Velvet 3 pc FullQueen Grey FullQueen</t>
  </si>
  <si>
    <t>Charter Club Damask Designs Garden Manor Co Red European Sham</t>
  </si>
  <si>
    <t>Whim by Martha Stewart Whim By Martha Stewart Collect NYC Queen</t>
  </si>
  <si>
    <t>Hotel Collection Burnish Bronze King Sham, Crea Bronze King Sham</t>
  </si>
  <si>
    <t>Hotel Collection Luster Geo King Sham, Created Celadon King Sham</t>
  </si>
  <si>
    <t>Hotel Collection Mineral Quilted Euro Sham, Cre Grey European Sham</t>
  </si>
  <si>
    <t>Martha Stewart Collection Wedding Rings 100 Cotton Quee White Queen</t>
  </si>
  <si>
    <t>Martha Stewart Collection Martha Stewart Collection Meda Blue Standard Sham</t>
  </si>
  <si>
    <t>Martha Stewart Collection 400-Thread Count Egyptian Cott Blue Floral King</t>
  </si>
  <si>
    <t>Hotel Collection Structure Queen Bedskirt, Crea White Queen Bedskirt</t>
  </si>
  <si>
    <t>Charter Club 500-Thread Count Cotton Sateen White King</t>
  </si>
  <si>
    <t>Martha Stewart Collection White Shop King Sham, Created Tan Combo King</t>
  </si>
  <si>
    <t>Hotel Collection 500TC Printed Straie Queen She Seaglass Queen</t>
  </si>
  <si>
    <t>Fairfield Square Collection Austin 6-Pc. Reversible Comfor Blue King</t>
  </si>
  <si>
    <t>Fairfield Square Collection Austin 6-Pc. Reversible Comfor Black California King</t>
  </si>
  <si>
    <t>Fairfield Square Collection GTHM blkwht T CS Blackwhite Twin</t>
  </si>
  <si>
    <t>Fairfield Square Collection GTHM blkwht T CS Blackwhite King</t>
  </si>
  <si>
    <t>Sunham Hanna 12-Pc. Reversible Floral Blkwhite Queen</t>
  </si>
  <si>
    <t>Sunham White Garden 14-Pc. Queen Comf Milk Queen</t>
  </si>
  <si>
    <t>Lacoste Heritage Cotton 30 x 54 Bath Micro Chip Bath Towels</t>
  </si>
  <si>
    <t>Lacoste Shadow Diamond Cotton 30 x 54 Sand Bath Towels</t>
  </si>
  <si>
    <t>Sunham Barclay 3-Pc. Reversible Full Blackwht FullQueen</t>
  </si>
  <si>
    <t>VCNY Home VCNY Home Carmen Pintuck 4 Pie Burgundy King</t>
  </si>
  <si>
    <t>VCNY Home Carmen 3-Pc. Ruched Queen Duve Grey Queen</t>
  </si>
  <si>
    <t>Popular Bath Sinatra Soap Dish Blush ONE SIZE</t>
  </si>
  <si>
    <t>Elrene SunVeil Vanderbilt Beaded Wate Natural 42x22</t>
  </si>
  <si>
    <t>Elrene Colette Faux Silk 54 x 72 Fr Ivory 54x72</t>
  </si>
  <si>
    <t>Elrene Colette Faux Silk 28 x 72 Si Chocolate 28x72</t>
  </si>
  <si>
    <t>Miller Curtains Miller Curtains Preston 48 x Stone Grey 48x216</t>
  </si>
  <si>
    <t>Miller Curtains Miller Curtains Angelica Volie Celadon 59x108</t>
  </si>
  <si>
    <t>Windham Weavers Dalton 50 x 95 Curtain Panel White 50x95</t>
  </si>
  <si>
    <t>Hotel Collection Primaloft Silver Series Hi Lof White Twin</t>
  </si>
  <si>
    <t>Hotel Collection Turkish 33 x 70 Bath Sheet Sandstone Bath Sheets</t>
  </si>
  <si>
    <t>Christian Siriano New York Christian Siriano Garden Bloom Multiple King</t>
  </si>
  <si>
    <t>Oceanfront Resort Oceanfront Resort Coco Paradis Multi FullQueen</t>
  </si>
  <si>
    <t>Truly Soft Truly Soft Everyday Twin XL Sh Khaki Twin XL</t>
  </si>
  <si>
    <t>Truly Soft Truly Soft Everyday Hotel Bord White And Black FullQueen</t>
  </si>
  <si>
    <t>Christian Siriano New York 60 x 70 Snow Leopard Luxury Beige And White 60x70</t>
  </si>
  <si>
    <t>Truly Soft Trey Plaid FullQueen Comforte Blue FullQueen</t>
  </si>
  <si>
    <t>Pem America Cole Stripe 3-Pc. King Comfort Multi King</t>
  </si>
  <si>
    <t>Pem America Trinity 2-Pc. Reversible Medal Multi Twin</t>
  </si>
  <si>
    <t>Idea Nuova Soho Stripe 2pc Bath Rug Set Aqua No Size</t>
  </si>
  <si>
    <t>Blue Ridge Blue Ridge 233TC Cotton Twill White Twin</t>
  </si>
  <si>
    <t>Blue Ridge Reversible Micromink to Faux-S CreamBrown Throw</t>
  </si>
  <si>
    <t>Saro Lifestyle Saro Lifestyle Hemstitched Pil Natural 18x18</t>
  </si>
  <si>
    <t>DKNY Modern Bloom 50 x 63 Curtain Linen 50x63</t>
  </si>
  <si>
    <t>DKNY Refresh Cotton King Duvet Mist King</t>
  </si>
  <si>
    <t>DKNY DKNY Modern Velvet 50 x 84 C Champagne 50x84</t>
  </si>
  <si>
    <t>Donna Karan Seduction Euro Sham Ivory European Sham</t>
  </si>
  <si>
    <t>Enchante Home Enchante Home Veta 8-Pc. Wash Dark Blue ONE SIZE</t>
  </si>
  <si>
    <t>Enchante Home Enchante Home Signature 8-Pc. Lightpast Towel Sets</t>
  </si>
  <si>
    <t>Cheer Collection Faux Fur 20 x 20 Throw Pillo Brown 20x20</t>
  </si>
  <si>
    <t>Happycare Textiles Happycare Tex Luxury Quilted F Ivory</t>
  </si>
  <si>
    <t>Present Living Home Quilt Zarine Navy King</t>
  </si>
  <si>
    <t>Muk Luks Muk Luks Super Soft Teddy Sher Pink Child</t>
  </si>
  <si>
    <t>TADPOLE HOME/SLEEPING PARTNER INTL</t>
  </si>
  <si>
    <t>ienjoy Home Home Collection Premium Pleate White King</t>
  </si>
  <si>
    <t>ienjoy Home Home Collection All Season Pre Sage King</t>
  </si>
  <si>
    <t>ienjoy Home Home Collection Premium Ultra Burgundy King</t>
  </si>
  <si>
    <t>ienjoy Home Expressed In Embossed by The H Sage Chevron Queen</t>
  </si>
  <si>
    <t>ienjoy Home Home Collection Premium Ultra Taupe Queen</t>
  </si>
  <si>
    <t>Allied Home Pure Weave Allergen Barrier Do White King</t>
  </si>
  <si>
    <t>ienjoy Home Elegant Designs Patterned Duve Grey Vines KingCalifornia King</t>
  </si>
  <si>
    <t>ienjoy Home The Timeless Classics by Home Grey Soft Vines California King</t>
  </si>
  <si>
    <t>Linum Home Unisex 100 Turkish Cotton Ter White LXL</t>
  </si>
  <si>
    <t>Linenspa Signature CollectionAlwaysCoo White Standard</t>
  </si>
  <si>
    <t>Indecor Home 17 Piece Bath Set - Includes S Multi</t>
  </si>
  <si>
    <t>Chic Home Chic Home Woodside 3 Piece Que Yellow Queen</t>
  </si>
  <si>
    <t>Chic Home Chic Home Chloe 3-Pc. King Com Navy King</t>
  </si>
  <si>
    <t>Chic Home Chic Home Jake 10-Pc. Queen Be Gold Queen</t>
  </si>
  <si>
    <t>Cathay Home Inc. Smart Sheet with Pocket Queen Mint Queen</t>
  </si>
  <si>
    <t>Swift Home Ultra Soft 1800 Collection Bru Rose Blush Queen</t>
  </si>
  <si>
    <t>Cathay Home Inc. Ultra Soft Reversible Crinkle SilverGrey KingCalifornia King</t>
  </si>
  <si>
    <t>Rizzy Home Rizzy Home Ikat Polyester Fill Green</t>
  </si>
  <si>
    <t>Rizzy Home Rizzy Home Ikat Polyester Fill Yellow</t>
  </si>
  <si>
    <t>Rizzy Home Rizzy Home Ikat Polyester Fill Blue</t>
  </si>
  <si>
    <t>Rizzy Home Rizzy Home Compass Polyester F Blue</t>
  </si>
  <si>
    <t>Rizzy Home Riztex USA Simpson 3 Pc. Quil Natural King</t>
  </si>
  <si>
    <t>J Queen New York Sunrise Gold Straight Valance Gold No Size</t>
  </si>
  <si>
    <t>Levtex Camps Bay Coastal Print Revers Navy FullQueen</t>
  </si>
  <si>
    <t>Mainstream International Inc. Cambria Cotton 12 x 12 Wash Blue Washcloth</t>
  </si>
  <si>
    <t>Lush Decor Geo Shibori 72 x 72 Shower C Navy 72X72</t>
  </si>
  <si>
    <t>ienjoy Home Home Collection Premium 8 Piec White Full</t>
  </si>
  <si>
    <t>Pillow Guy White Down Side Back Sleeper White King</t>
  </si>
  <si>
    <t>Eddie Bauer Eddie Bauer Nordic Plaid Polar Blue 50x70</t>
  </si>
  <si>
    <t>Nautica Baird Cotton King Blanket Navy King</t>
  </si>
  <si>
    <t>Stone Cottage Conrad FullQueen Comforter S Grey FullQueen</t>
  </si>
  <si>
    <t>Tommy Bahama Home Tommy Bahama Bahama Coast King Grey King</t>
  </si>
  <si>
    <t>Tommy Bahama Home Palmiers 16 x 20 Decorative Green</t>
  </si>
  <si>
    <t>Nautica Jettison Grey Quilt Set, Full Dark Grey FullQueen</t>
  </si>
  <si>
    <t>ED Ellen Degeneres Belmont Jade Duvet Cover Set, Soot FullQueen</t>
  </si>
  <si>
    <t>Vera Wang Zig Zag King Duvet Cover Set White King</t>
  </si>
  <si>
    <t>Nautica Ultra Soft Plush Solid Blanket Flagstone FullQueen</t>
  </si>
  <si>
    <t>Nautica Fairwater Cotton FullQueen Co BlueIvory FullQueen</t>
  </si>
  <si>
    <t>Laura Ashley Tailored King Bedskirt with Co White King</t>
  </si>
  <si>
    <t>Nautica Gulf Shores FullQueen Quilt S Charcoal FullQueen</t>
  </si>
  <si>
    <t>Stone Cottage Briar King Duvet Cover Set Navy King</t>
  </si>
  <si>
    <t>Tommy Bahama Home Tommy Bahama Kayo Blue Reversi Blue Canal FullQueen</t>
  </si>
  <si>
    <t>Nautica Nautica Hampton King Duvet 3-P White King</t>
  </si>
  <si>
    <t>Nautica Nautica Woodbine Bonus Comfort Tan FullQueen</t>
  </si>
  <si>
    <t>Eclipse Kendall Blackout Window Curtai Ruby 42x95</t>
  </si>
  <si>
    <t>Riviera Home 27x45 Overtuft Shibori Beige Beige</t>
  </si>
  <si>
    <t>RIVIERA HOME</t>
  </si>
  <si>
    <t>Glitzhome Happy Harvest Truck Decorative Beige 12x18</t>
  </si>
  <si>
    <t>Oake Cotton Tencel Reversible 3-Pc. White FullQueen</t>
  </si>
  <si>
    <t>Martha Stewart Collection Grey Plaid FullQueen 4-Piece Grey Plaid FullQueen</t>
  </si>
  <si>
    <t>Sunham CLOSEOUT Sunham Twin 2-Piece Blue Twin</t>
  </si>
  <si>
    <t>Sunham Holiday Tartan 8-Pc. King Comf Red King</t>
  </si>
  <si>
    <t>Exclusive Home Exclusive Home Curtains Chatea Blue 95-98</t>
  </si>
  <si>
    <t>Hallmart Collectibles Jeremy Reversible 2-Pc. Twin C Blueorange Twin</t>
  </si>
  <si>
    <t>Drew Jonathan Home Cut Fur Solid Pillow Brown Decorative Pillow</t>
  </si>
  <si>
    <t>Oake Cotton Tencel Solid 300-Thread White Queen</t>
  </si>
  <si>
    <t>Betsey Johnson Betsey Johnson Solid 6-Pc. She Pink Queen</t>
  </si>
  <si>
    <t>Eclipse Eclipse Harper Velvet Absolute Teal 84 x 50</t>
  </si>
  <si>
    <t>Avanti Avanti Happy Howliday LP2 Fti White</t>
  </si>
  <si>
    <t>Martha Stewart Collection Solid Faux Fur Throw Port 50x60</t>
  </si>
  <si>
    <t>Whim by Martha Stewart Whim by Martha Stewart Leopard Pink 20 x 30</t>
  </si>
  <si>
    <t>Morgan Home Morgan Home Ultra-Soft Plush K Ivory King</t>
  </si>
  <si>
    <t>Avanti Avanti Home For Holiday Rug White 20 x 30</t>
  </si>
  <si>
    <t>Comfort Revolution 3 Gel-Infused Memory Foam Mat Blue</t>
  </si>
  <si>
    <t>Oake Cotton Tencel Reversible 3-Pc. Ivory King</t>
  </si>
  <si>
    <t>Caro Home Chateau Royale Penguin hand to Multi Towel Set</t>
  </si>
  <si>
    <t>Sunham CLOSEOUT Sunham King 3-Piece Gray King</t>
  </si>
  <si>
    <t>Hotel Collection Dobby Diamond Quilted Euro Sha Natural European Sham</t>
  </si>
  <si>
    <t>Star Wars Baby Yoda 4-Pc. Full Sheet Set Multi Full</t>
  </si>
  <si>
    <t>Lacourte Brandon 2Pk Mustard Decorative Green Decorative Pillow</t>
  </si>
  <si>
    <t>Bare Home Bare Home Microplush Fleece Bl Gray King</t>
  </si>
  <si>
    <t>THRO 20x20 Lisburn Chenille Tassel Navy 18x18</t>
  </si>
  <si>
    <t>Hotel Collection Remnant Textured Micro-Geo Jac Cement King</t>
  </si>
  <si>
    <t>Hallmart Collectibles Waterfall Floral Reversible 12 Blushblue Queen</t>
  </si>
  <si>
    <t>Madison Park Madison Park Essentials Patric Navy 72 x 72</t>
  </si>
  <si>
    <t>Hotel Collection Broken Stripe Standard Sham, C Granite Standard Sham</t>
  </si>
  <si>
    <t>Curtainworks Curtainworks Pandora Sheer 63 White 63</t>
  </si>
  <si>
    <t>Morgan Home 50 x 60 Printed Reversible S Trees Throw</t>
  </si>
  <si>
    <t>Happycare Textiles Multi-Color Chevron Pattern De Blue 60 X 50</t>
  </si>
  <si>
    <t>Hotel Collection 500 Thread Count Micro Cotton Ivory Twin XL</t>
  </si>
  <si>
    <t>Oake Geo Stitch Standard Sham, Crea Terracotta Standard Sham</t>
  </si>
  <si>
    <t>The Grinch Rudolph Cuddle Pillow Multi</t>
  </si>
  <si>
    <t>VCNY Home Gingerbread Man 5 Piece Bath S Red</t>
  </si>
  <si>
    <t>Vera Wang Vera Wang 800 Thread Count Sat Pale Blue Queen</t>
  </si>
  <si>
    <t>Charter Club Cozy Plush Throw Fair Isle Throw</t>
  </si>
  <si>
    <t>AQ Textiles Sullivan 1400 thread count Sta Blue Standard Pillowcase</t>
  </si>
  <si>
    <t>Oake Cotton Tencel Solid 300 Thread Terracotta King</t>
  </si>
  <si>
    <t>Vince Camuto Home 400TC Percale 3 Piece Duvet Se White FullQueen</t>
  </si>
  <si>
    <t>TALESMA TALESMA Hawaii 6 Pieces Towel Pink Towel Sets</t>
  </si>
  <si>
    <t>TALESMA INC</t>
  </si>
  <si>
    <t>Tommy Hilfiger TH Leaf Print Txl Mini Comfort Blue Twin XL</t>
  </si>
  <si>
    <t>CottonWorks CottonWorks Pima Exclusive 100 Charcoal Queen</t>
  </si>
  <si>
    <t>BED HOG INC</t>
  </si>
  <si>
    <t>Serta Serta Simply Clean Sheet Set, Silver Grey King</t>
  </si>
  <si>
    <t>Serta Arctic 30x Cooling Contour Mem White</t>
  </si>
  <si>
    <t>Jean Pierre Jean Pierre Cotton 2-Piece Bat Aqua 2 piece set</t>
  </si>
  <si>
    <t>CREATIVE HOME IDEAS/YMF CARPET INC</t>
  </si>
  <si>
    <t>Caro Home Caro Home Empire 6 Piece Towel Silver No Size</t>
  </si>
  <si>
    <t>Morgan Home 50 x 60 Printed Fleece Thro Mistletoe Throw</t>
  </si>
  <si>
    <t>SLD 6PC QN SA</t>
  </si>
  <si>
    <t>DEFAULT VENDOR</t>
  </si>
  <si>
    <t>Decor Studio Hannah 3pc Bath Accessory Set Grey No Size</t>
  </si>
  <si>
    <t>ENCHANTE HOME</t>
  </si>
  <si>
    <t>Birch Trail 3pc Decorative Throw and Pillo Buffalo Stag 60x50</t>
  </si>
  <si>
    <t>Charter Club Sherpa Plush FullQueen Blanke Red Velvet FullQueen</t>
  </si>
  <si>
    <t>Martha Stewart Collection Surfs Up 2-Pc. 11 x 18 Fing White Combo</t>
  </si>
  <si>
    <t>Hotel Collection Cotton 680 Thread Count Set of Charcoal King Pillowcase</t>
  </si>
  <si>
    <t>Austin Home Collection PRESCOTT, 1000 threadcount Cer Light Blue King</t>
  </si>
  <si>
    <t>Martha Stewart Collection Martha Stewart Collection Neut Neutral Plaid FullQueen</t>
  </si>
  <si>
    <t>Sun Zero Sun Zero Preston Energy Saving White 40x84</t>
  </si>
  <si>
    <t>Berkshire Berkshire Classic Velvety Plus Grey Chunky FullQueen</t>
  </si>
  <si>
    <t>No. 918 No. 918 Silvia Crushed Texture Silver-Tone Gray 50x108</t>
  </si>
  <si>
    <t>Reversifi Reversifi Center Pleat Bed Ski Gold Twin</t>
  </si>
  <si>
    <t>Sun Zero Sun Zero Oslo Grommet Theater Terracotta 52x108</t>
  </si>
  <si>
    <t>Martha Stewart Collection Fair Isle King 4-Piece Quilt B Fair Isle King</t>
  </si>
  <si>
    <t>The Mountain Home Collection Brenda Sherpa King 3PC Comfort Burgundy King</t>
  </si>
  <si>
    <t>LUSH DECOR/TRIANGLE HOME FASH-CONS</t>
  </si>
  <si>
    <t>Decor Studio Decor Studio Rhinestone Bath Black Bath Towels</t>
  </si>
  <si>
    <t>Hotel Collection Ripple King Duvet, Created For Blue King</t>
  </si>
  <si>
    <t>Hotel Collection Cotton 680 Thread Count King F Charcoal King</t>
  </si>
  <si>
    <t>Levtex Levtex Home Maui Euro Shams, S Aqua European Sham</t>
  </si>
  <si>
    <t>Serta Arctic 15x Cooling Gusseted Ju White Standard</t>
  </si>
  <si>
    <t>Mod Lifestyles Beach Stripe Throw, 50 x 60 Aqua, White 50x60</t>
  </si>
  <si>
    <t>Oake Drybrush Matelasse 3-Pc. Full Neutral FullQueen</t>
  </si>
  <si>
    <t>Juicy Couture Juicy Couture Window Curtain P Light Gray 76x96</t>
  </si>
  <si>
    <t>Charter Club Damask Velvet 3 pc FullQueen Red FullQueen</t>
  </si>
  <si>
    <t>Waterford Waterford Ameline 12 x 18 Se SilverIvory 12x18</t>
  </si>
  <si>
    <t>Eclipse Eclipse Monty Absolute Zero Pa Blush, Cream 50x95</t>
  </si>
  <si>
    <t>DRAFT - Martha Stewart Collect Candyland Throw</t>
  </si>
  <si>
    <t>Laura Ashley Laura Ashley Walled Garden Kin Blue King</t>
  </si>
  <si>
    <t>Stone Cottage Stone Cottage Kentville Floral Charcoal King</t>
  </si>
  <si>
    <t>Levtex Levtex Home Washed Linen Quilt Natural 60x50</t>
  </si>
  <si>
    <t>Natori Taylor Colorblocked Sherpa 6-P Greybluegreen Twin</t>
  </si>
  <si>
    <t>Oake Ethicot 4 Pc. Sheet Set, King, Light Blue King</t>
  </si>
  <si>
    <t>Martha Stewart Collection Storybook Holiday FullQueen Q Red FullQueen</t>
  </si>
  <si>
    <t>Madison Park Madison Park Maxwell FullQuee Gray FullQueen</t>
  </si>
  <si>
    <t>WellBeing SILVADUR SOLID SHEET SET KING Urban Stripe Blue King</t>
  </si>
  <si>
    <t>Poppy Fritz Poppy Fritz Alice Embroidere White King</t>
  </si>
  <si>
    <t>Mod Lifestyles Oceana 18 Embroidered Decorat Coral 18x18</t>
  </si>
  <si>
    <t>Martha Stewart Collection Printed Cotton Flannel 4-Pc. Q Candyland Queen</t>
  </si>
  <si>
    <t>Hotel Collection Ikat Stripe King Coverlet, Cre Cream King</t>
  </si>
  <si>
    <t>Hallmart Collectibles Miriam Reversible 3-Pc. FullQ Graywhite FullQueen</t>
  </si>
  <si>
    <t>Hotel Collection Ornate Scroll FullQueen Duvet Ruby FullQueen</t>
  </si>
  <si>
    <t>TH HOUNDSTOOTH WASH</t>
  </si>
  <si>
    <t>Keeco Abigail 8-Piece Queen Comforte Soft Lilac Queen</t>
  </si>
  <si>
    <t>Eclipse Eclipse Liberty 52 x 95 Li White 95 x 52</t>
  </si>
  <si>
    <t>Sunham Skylar Purple 9-Pc. King Comfo Purple King</t>
  </si>
  <si>
    <t>Charter Club Damask Designs Buds Branches Vintage Claret King</t>
  </si>
  <si>
    <t>Jean Pierre Jean Pierre Cotton 21 x 34 B Aqua 34 x 21</t>
  </si>
  <si>
    <t>Eclipse Eclipse Harper Velvet Absolute Navy 84 x 50</t>
  </si>
  <si>
    <t>Hotel Collection Ornate Scroll Quilted European Ruby European Sham</t>
  </si>
  <si>
    <t>Premier Comfort Corded plush dec pillow Grey</t>
  </si>
  <si>
    <t>JLA HOME/E&amp;E CO LTD-CONS</t>
  </si>
  <si>
    <t>Hotel Collection Hotel Collection Terra Quilted Grey King</t>
  </si>
  <si>
    <t>Hotel Collection Hotel Collection Terra Decorat Grey Decorative Pillow</t>
  </si>
  <si>
    <t>Hotel Collection CLOSEOUT Hotel Collection Art White King</t>
  </si>
  <si>
    <t>Martha Stewart Collection Embroidered Silky Satin Bedspr Light Grey King</t>
  </si>
  <si>
    <t>Martha Stewart Collection Embroidered Silky Satin Standa Ivory Standard Sham</t>
  </si>
  <si>
    <t>Charter Club Damask Designs New Geo Cotton Cornflower King</t>
  </si>
  <si>
    <t>Charter Club Damask Designs New Geo Cotton Smoke Queen</t>
  </si>
  <si>
    <t>CAMBRIA STD SHAM</t>
  </si>
  <si>
    <t>Hotel Collection Hotel Collection Tessellate Ki Lightpastel Gr King Sham</t>
  </si>
  <si>
    <t>Charter Club Egyptian Cotton 30 x 56 Bath Sea Coral Bath Towels</t>
  </si>
  <si>
    <t>CONNETTIVA KG SHAM</t>
  </si>
  <si>
    <t>LEAFLET FQ DUV</t>
  </si>
  <si>
    <t>AMELIE FQ DVT</t>
  </si>
  <si>
    <t>Hotel Collection Channels Queen Bedskirt, Creat White Queen Bedskirt</t>
  </si>
  <si>
    <t>Martha Stewart Collection Sweater Knit Fur Throw Haute Red 50x60</t>
  </si>
  <si>
    <t>MARTHA STEWART-MMG/MSLO-THROWS</t>
  </si>
  <si>
    <t>Martha Stewart Collection Martha Stewart Collection Star Multi FullQueen</t>
  </si>
  <si>
    <t>Charter Club Wellness Cotton 27 x 50 Bath Clear Blue Bath Towels</t>
  </si>
  <si>
    <t>Hotel Collection Burnish Bronze King Comforter, Bronze King</t>
  </si>
  <si>
    <t>Hotel Collection Burnish Bronze King Bedskirt, Bronze King Bedskirt</t>
  </si>
  <si>
    <t>Charter Club Continuous Cool Medium Firm Ki White King</t>
  </si>
  <si>
    <t>Hotel Collection Skyline FullQueen Coverlet, C Cloud FullQueen Coverlet</t>
  </si>
  <si>
    <t>Whim by Martha Stewart 3-Pc. Tufted-Chenille Exploded White FullQueen</t>
  </si>
  <si>
    <t>Hotel Collection Cloudscape King Duvet, Created Blush King</t>
  </si>
  <si>
    <t>Martha Stewart Collection 200-Thread Count 4-Pc. Printed Trop Botanical Queen</t>
  </si>
  <si>
    <t>Hotel Collection Broken Stripe Quilted Standard Charcoal Standard Sham</t>
  </si>
  <si>
    <t>Martha Stewart Collection Hello Sunshine Standard Sham, Blue Multi Standard Sham</t>
  </si>
  <si>
    <t>AUSTIN BLUE KG 8PC COMF SET</t>
  </si>
  <si>
    <t>Lacoste Home Meribel Colorblocked FullQuee Navy FullQueen</t>
  </si>
  <si>
    <t>Sunham Soft Spun Cotton Bath Towel Light Tan Bath Towels</t>
  </si>
  <si>
    <t>Sunham Soft Spun Cotton Bath Towel Light Coral Bath Towels</t>
  </si>
  <si>
    <t>Fairfield Square Collection Aspen T1000 CVC Queen sheet se Lilac Queen</t>
  </si>
  <si>
    <t>Lacoste Home Lacoste Sierra FullQueen Duve Beige FullQueen</t>
  </si>
  <si>
    <t>VCNY Home Nina 3-Pc. Embossed King Quilt Taupe King</t>
  </si>
  <si>
    <t>VCNY Home VCNY Home Dublin Cable Knit Co Spa Blue Throw</t>
  </si>
  <si>
    <t>VCNY Home Hudson Puff Paint With Blackou Taupe 38x96</t>
  </si>
  <si>
    <t>VCNY Home VCNY Home Leaf 8 Piece Comfort Blue Queen</t>
  </si>
  <si>
    <t>Victoria Classics Carmen 60 x 20 Valance Taupe 60x20</t>
  </si>
  <si>
    <t>Hotel Collection 500 Thread count Mattress Pa White Queen</t>
  </si>
  <si>
    <t>Hotel Collection European White Goose Down Soft White Standard</t>
  </si>
  <si>
    <t>Popular Bath Waffle Weave Tub Mat White No Size</t>
  </si>
  <si>
    <t>Miller Curtains Dylan 52 x 84 Panel Brick 52x84</t>
  </si>
  <si>
    <t>HO PRIMA SLVR COMF K</t>
  </si>
  <si>
    <t>EF Home Decor EF Home Decor IndoorOutdoor R Navy</t>
  </si>
  <si>
    <t>CRICKET PRODUCTS EF HOME DECOR</t>
  </si>
  <si>
    <t>Tommy Hilfiger All American II Cotton Washclo Pale Khaki Washcloths</t>
  </si>
  <si>
    <t>Hotel Collection Turkish 30 x 56 Bath Towel Ivory Bath Towels</t>
  </si>
  <si>
    <t>Hotel Collection Turkish 30 x 56 Bath Towel Sandstone Bath Towels</t>
  </si>
  <si>
    <t>KHAKI</t>
  </si>
  <si>
    <t>Hotel Collection Turkish 13 Square Washcloth Ivory Washcloths</t>
  </si>
  <si>
    <t>Charisma Classic II 13 x 13 Cotton Wa Skyway Washcloths</t>
  </si>
  <si>
    <t>Truly Soft Truly Soft Everyday Hotel Bord White And Grey FullQueen</t>
  </si>
  <si>
    <t>Christian Siriano New York Christian Siriano Dreamy Flora Multiple FullQueen</t>
  </si>
  <si>
    <t>Pem America Coventry King Comforter Set Charcoal King</t>
  </si>
  <si>
    <t>Cottage Classics Cottage Classics Estate Bloom Blue No Size</t>
  </si>
  <si>
    <t>Charisma Cellini Queen Duvet Set Greywhite FullQueen</t>
  </si>
  <si>
    <t>Charisma 400TC Percale Cotton King Shee White King</t>
  </si>
  <si>
    <t>Pem America Franklin Stripe 8-Pc. Queen Co Blue Queen</t>
  </si>
  <si>
    <t>Elegant Comfort Elegant Comfort Luxurious Stri Beige Twin</t>
  </si>
  <si>
    <t>Elegant Comfort Elegant Comfort Reversible Dow Navy KingCalifornia King</t>
  </si>
  <si>
    <t>Elegant Comfort Elegant Comfort Luxury Super S Black Twin</t>
  </si>
  <si>
    <t>Elegant Comfort Elegant Comfort Luxury Cube Pl Beige TwinTwin XL</t>
  </si>
  <si>
    <t>HotelSpa 7-setting LED Hand Shower with Chrome</t>
  </si>
  <si>
    <t>INTERLINK PRODUCTS</t>
  </si>
  <si>
    <t>DA COMF WHITE/PLATINUM-FBASIC</t>
  </si>
  <si>
    <t>Blue Ridge Blue Ridge Reversible Down Alt Blackplatinum FullQueen</t>
  </si>
  <si>
    <t>BR RYL LX DA COMF FQ WHIBASIC</t>
  </si>
  <si>
    <t>Royal Luxe Royal Luxe Microfiber Color Do Platinum FullQueen</t>
  </si>
  <si>
    <t>Blue Ridge Blue Ridge 230TC 100 Cotton F White European</t>
  </si>
  <si>
    <t>DKNY DKNY PURE Texture King Duvet White King</t>
  </si>
  <si>
    <t>DKC SILK INDULGENCE</t>
  </si>
  <si>
    <t>Donna Karan Silk Indulgence King Fitted Sh Ivory King</t>
  </si>
  <si>
    <t>Donna Karan Silk Indulgence Queen Flat She Platinum Queen</t>
  </si>
  <si>
    <t>Donna Karan Donna Karan Onyx 12 Square Nov Black No Size</t>
  </si>
  <si>
    <t>Divatex Divatex Quick Dry 12 x 12 Wa Gray Washcloths</t>
  </si>
  <si>
    <t>DIVATEX/HIMATSINGKA AMERICA</t>
  </si>
  <si>
    <t>Ghostbed GhostBed Cal King Size Premium White</t>
  </si>
  <si>
    <t>GHOST/WERNER MEDIA PARTNERS LLC</t>
  </si>
  <si>
    <t>Ghostbed Ghostbed Premium Supima Cotton White Queen</t>
  </si>
  <si>
    <t>WERNER MEDIA PARTNERS LLC</t>
  </si>
  <si>
    <t>Southshore Fine Linens Southshore Fine Linens Botanic Multi King</t>
  </si>
  <si>
    <t>Southshore Fine Linens Southshore Fine Linens Classy Gray Queen</t>
  </si>
  <si>
    <t>Enchante Home Enchante Home Vague 2-Pc. Bath Dark Grey Towel Sets</t>
  </si>
  <si>
    <t>Battilo Battilo Home Knit Diamond Patt Beige</t>
  </si>
  <si>
    <t>Present Living Home Quilt Zarine Navy FullQueen</t>
  </si>
  <si>
    <t>PRESENT LIVING HOME LLC</t>
  </si>
  <si>
    <t>COTTON 50X30 BATHRUG</t>
  </si>
  <si>
    <t>Saffron Fabs Saffron Fabs Regency 34 x 21 Gray 2 piece set</t>
  </si>
  <si>
    <t>BEHRENS ENGLAND 3 HI</t>
  </si>
  <si>
    <t>Nanshing Nanshing Reina 7 PC Comforter Blue King</t>
  </si>
  <si>
    <t>ienjoy Home Home Collection Premium Bed Bu White Twin XL</t>
  </si>
  <si>
    <t>E by Design Sandpipers 16 Inch Gray and Br Gray</t>
  </si>
  <si>
    <t>De Moocci Decorative Super Soft Plush Ro Skyblue 18x18</t>
  </si>
  <si>
    <t>Allied Home Pure weave Allergen Barrier 2 White King</t>
  </si>
  <si>
    <t>NEW ALL COTTON KG</t>
  </si>
  <si>
    <t>ienjoy Home Elegant Designs Patterned Duve Navy Polka Dots FullQueen</t>
  </si>
  <si>
    <t>ienjoy Home Elegant Designs Patterned Duve Aqua Polka Dots FullQueen</t>
  </si>
  <si>
    <t>ienjoy Home Elegant Designs Patterned Duve Pale Blue Wheatfield FullQueen</t>
  </si>
  <si>
    <t>ienjoy Home Home Collection Premium Ultra White Queen</t>
  </si>
  <si>
    <t>ienjoy Home Home Collection Premium Ultra Gray Queen</t>
  </si>
  <si>
    <t>ienjoy Home Home Collection Premium Ultra Navy Queen</t>
  </si>
  <si>
    <t>ienjoy Home Tranquil Sleep Patterned Duvet Light Grey Stripes KingCalifornia King</t>
  </si>
  <si>
    <t>Jennifer Adams Home Jennifer Adams Relaxed Cotton Dark Gray King</t>
  </si>
  <si>
    <t>JENNIFER ADAMS MANUFACTURING INC</t>
  </si>
  <si>
    <t>Elegant Comfort Elegant Comfort Luxury Soft So Red Full</t>
  </si>
  <si>
    <t>Linenspa Signature Collection 3Act White Twin XL</t>
  </si>
  <si>
    <t>17 PCS SET - NAOMI</t>
  </si>
  <si>
    <t>Better Trends Rio King Sham Pink</t>
  </si>
  <si>
    <t>Chic Home Chic Home Mesa 8 Piece King Qu Coral King</t>
  </si>
  <si>
    <t>Swift Home Ultra Soft 1800 Collection Bru Black Queen</t>
  </si>
  <si>
    <t>Swift Home Home Basic Easy Fit Microfiber White Full</t>
  </si>
  <si>
    <t>Swift Home Home Basic Easy Fit Microfiber White Queen</t>
  </si>
  <si>
    <t>Cathay Home Inc. Ultra Soft Reversible Crinkle SilverGrey FullQueen</t>
  </si>
  <si>
    <t>Pur Serenity 15 lbs Cotton Weighted Blanket Storm Grey 48 x 72</t>
  </si>
  <si>
    <t>DREAM THEORY/SUTTON HOME FASHIONS</t>
  </si>
  <si>
    <t>Tagco USA Tagco USA Luxury Home Super-So Lilac California King</t>
  </si>
  <si>
    <t>TAGCO USA INC</t>
  </si>
  <si>
    <t>Sweet Home Collection Sweet Home Collection Queen 3- White FullQueen</t>
  </si>
  <si>
    <t>Sweet Home Collection Sweet Home Collection King 3-P White King</t>
  </si>
  <si>
    <t>Sweet Home Collection Hotel Grand FullQueen Blanket Dark Gray FullQueen</t>
  </si>
  <si>
    <t>Chic Home Chic Home Daya 8-Pc. Queen Bed Taupe Queen</t>
  </si>
  <si>
    <t>Home Weavers Hudson Bath Rug 17 x 24 Red No Size</t>
  </si>
  <si>
    <t>Rizzy Home Rizzy Home Ticking Stripe Poly Blue</t>
  </si>
  <si>
    <t>Rizzy Home Rachel Kate Abstract Polyester Gray1</t>
  </si>
  <si>
    <t>Rizzy Home Mariah Parris Animal Print Pol Orange</t>
  </si>
  <si>
    <t>J Queen New York Napoleon Gold 84 Window Panel Gold 84 inches</t>
  </si>
  <si>
    <t>J Queen New York Bianco 15 x 21 Boudoir Decor White</t>
  </si>
  <si>
    <t>Oscar Oliver Flen Cotton Black King Duvet C Black King</t>
  </si>
  <si>
    <t>J Queen New York Zilara FullQueen Coverlet White FullQueen</t>
  </si>
  <si>
    <t>J Queen New York Milano Sand Drapery Sand ONE SIZE</t>
  </si>
  <si>
    <t>J Queen New York Milano Sand Waterfall Valance Sand ONE SIZE</t>
  </si>
  <si>
    <t>Oscar Oliver Flatiron Teal Full Comforter S Teal Full</t>
  </si>
  <si>
    <t>PKaufmann Home Logan Loveseat Burgundy ONE SIZE</t>
  </si>
  <si>
    <t>Superior Superior Basket Weave Woven Al Navy King</t>
  </si>
  <si>
    <t>BedVoyage BedVoyage Quilted Sham, Europe Champagne No Size</t>
  </si>
  <si>
    <t>HOUSTON STREET</t>
  </si>
  <si>
    <t>Roselli Trading Company By The Sea Tissue Cover White</t>
  </si>
  <si>
    <t>MODERN RND PUMP</t>
  </si>
  <si>
    <t>SHINE by NIGHT Mulberry Silk Standard Pillowc Baby Blue Standard Pillowcase</t>
  </si>
  <si>
    <t>DISCOVER NIGHT LLC</t>
  </si>
  <si>
    <t>Small World Home Cheeky Monkey 4-Pc. Reversible Multi Twin</t>
  </si>
  <si>
    <t>Nanshing Corell Black 7-Piece Queen Com Blackred Queen</t>
  </si>
  <si>
    <t>Laura Ashley Laura Ashley King Amberley Qui Pastel Grey King</t>
  </si>
  <si>
    <t>SALTWATER QUILT KG SET</t>
  </si>
  <si>
    <t>Nautica Solid Cotton Percale Twin Extr White Twin XL</t>
  </si>
  <si>
    <t>Laura Ashley Laura Ashley King Felicity Qui Breeze Blue King</t>
  </si>
  <si>
    <t>BAIRD WHT TW BLANKET</t>
  </si>
  <si>
    <t>Nautica Baird Cotton King Blanket Grey King</t>
  </si>
  <si>
    <t>Laura Ashley Chloe Cottage Blue Comforter S Open Blue FullQueen</t>
  </si>
  <si>
    <t>ED Ellen Degeneres Dream European Sham Alpaca European Sham</t>
  </si>
  <si>
    <t>Marimekko Pikkuinen Unikko Twin XL Sheet Black Twin XL</t>
  </si>
  <si>
    <t>OCEAN BAY TOWEL SET</t>
  </si>
  <si>
    <t>HOLLY GROVE QUILT FQ</t>
  </si>
  <si>
    <t>Tommy Bahama Home Island Essentials Canvas Fring Palm Green European Sham</t>
  </si>
  <si>
    <t>GRISAILLE WEAVE SHAM BASIC</t>
  </si>
  <si>
    <t>Laura Ashley Laura Ashley Cassidy Tab Top V Yellow No Size</t>
  </si>
  <si>
    <t>ED Ellen Degeneres ED Ellen Degeneres Washed Cott Gray Twin</t>
  </si>
  <si>
    <t>Vera Wang Vera Wang Waffle Pique King Du Beige King</t>
  </si>
  <si>
    <t>CAPRESE THERMALAYER</t>
  </si>
  <si>
    <t>Grace Home Fashions Seriously Soft 6 Piece Sheet S Natural King</t>
  </si>
  <si>
    <t>GRACE HOME FASHIONS LLC</t>
  </si>
  <si>
    <t>Sleep Beyond Sleep Beyond Mywoolly, Natur Off-white Standard</t>
  </si>
  <si>
    <t>SLEEP &amp; BEYOND INC</t>
  </si>
  <si>
    <t>Glitzhome Embroidered 16 x 16 Thankful Beige 16x16</t>
  </si>
  <si>
    <t>GLITZHOME LLC</t>
  </si>
  <si>
    <t>Sun Zero Sun Zero Cyrus Thermal Blackou Black 40x63</t>
  </si>
  <si>
    <t>No. 918 No. 918 Silvia Crushed Texture Harbor Blue 50x95</t>
  </si>
  <si>
    <t>No. 918 No. 918 Silvia Crushed Texture Sienna Orange 84 x 50</t>
  </si>
  <si>
    <t>Serta Serta Down Illusion Firm Densi White King</t>
  </si>
  <si>
    <t>JULIETTE 18" SQ EMBE</t>
  </si>
  <si>
    <t>Majestic Home Goods Majestic Home Goods Villa Deco Orange ONE SIZE</t>
  </si>
  <si>
    <t>MAJESTIC HOME GOODS INC</t>
  </si>
  <si>
    <t>SS TULIP TEE CORAL</t>
  </si>
  <si>
    <t>MATERNITY</t>
  </si>
  <si>
    <t>MATERNITY OPCO HOLDINGS LLC LEASED</t>
  </si>
  <si>
    <t>Manhattan Heights Marcello Reversible 8-Pc. Quee Multi Queen</t>
  </si>
  <si>
    <t>Manhattan Heights Lucy 3-Pc. Reversible Queen Co Mutli Queen</t>
  </si>
  <si>
    <t>Sunham Elias 12-Pc. Queen Comforter S Navy Queen</t>
  </si>
  <si>
    <t>Martha Stewart Collection Martha Stewart Poinsettia Embr White Combo Bath Towels</t>
  </si>
  <si>
    <t>Biddeford Sherpa Digital RedWhite Buffa Greywhite Buffalo Check Throw</t>
  </si>
  <si>
    <t>BIDDEFORD BLANKETS LLC</t>
  </si>
  <si>
    <t>Martha Stewart Collection Printed Tile 100 Cotton Quilt Blue Standard Sham</t>
  </si>
  <si>
    <t>Premier Comfort Premier Comfort Heated Plush T Dogs Throw</t>
  </si>
  <si>
    <t>Lacourte Snowflake Fleece Jacquard Thro Snowflake 50x60</t>
  </si>
  <si>
    <t>Charter Club Damask Velvet 3 pc FullQueen Ivory FullQueen</t>
  </si>
  <si>
    <t>Hotel Grand Hotel Grand Luxurious Thermal Light Green FullQueen</t>
  </si>
  <si>
    <t>Nautica Cotton Rich Blend Solid Twin X Grey Haze Twin XL</t>
  </si>
  <si>
    <t>Martha Stewart Collection Eloise Floral FullQueen Quilt Charcoal FullQueen</t>
  </si>
  <si>
    <t>Grace Home Fashions Nile Harvest Egyptian Cotton 4 Silver Queen</t>
  </si>
  <si>
    <t>Martha Stewart Collection Plush Bath Robe Blue ONE SIZE</t>
  </si>
  <si>
    <t>Peri Home Chenille Border 3 Piece Comfor Gray King</t>
  </si>
  <si>
    <t>Rudolph the Red-Nosed Reindeer 2-Pc. Twin Quilt Set Multi Twin</t>
  </si>
  <si>
    <t>T1000 ULTRLUX WHT KG</t>
  </si>
  <si>
    <t>Casper Casper Foam Pillow, Standard White Standard</t>
  </si>
  <si>
    <t>CASPER SLEEP INC</t>
  </si>
  <si>
    <t>Elrene Tucker Solid Window Curtain Ti Blue 30x24</t>
  </si>
  <si>
    <t>UNIKOME UNIKOME Lightweight Down Blank Gray 70L</t>
  </si>
  <si>
    <t>Levtex Levtex Home Bennett Fringe Emb Blue 18x18</t>
  </si>
  <si>
    <t>Sun Zero Sun Zero Riley Kids Bedroom Bl Silver-Tone Gray 40x95</t>
  </si>
  <si>
    <t>Brooklyn Loom Brooklyn Loom Verbena Floral S Mutli 72 x 72</t>
  </si>
  <si>
    <t>Reversifi Reversifi Embroidered Bed Shee Black Queen</t>
  </si>
  <si>
    <t>Martha Stewart Collection 400-Thread Count Egyptian Cott Grey Stripe California King</t>
  </si>
  <si>
    <t>Lacoste Home Lacoste Home Match Point Colle Storm Gray Queen</t>
  </si>
  <si>
    <t>IENJOY</t>
  </si>
  <si>
    <t>Avanti Avanti Sequin Shell 24 x 60 Aqua 21 x 34</t>
  </si>
  <si>
    <t>Waterford Waterford Valetta Jacquard 4 P Ivory King</t>
  </si>
  <si>
    <t>Martha Stewart Collection Hello Sunshine King Quilt, Cre Blue Multi King</t>
  </si>
  <si>
    <t>Hotel Collection Turkish Vestige Bath Towel, Cr Sandstone Bath Towels</t>
  </si>
  <si>
    <t>Charter Club Damask Designs Leaves Silhouet Lves Silhouette King</t>
  </si>
  <si>
    <t>Martha Stewart Collection Embroidered Silky Satin Bedspr Grey Full</t>
  </si>
  <si>
    <t>Martha Stewart Collection Holiday Flannel Winterberry Ki Winterberry King</t>
  </si>
  <si>
    <t>VCNY Home VCNY Home Paris Night Reversib Taupe King</t>
  </si>
  <si>
    <t>Mytex Leopard 2-Pc. Reversible Twin Taupegold Twin</t>
  </si>
  <si>
    <t>J Queen New York J Queen New York Shore Straigh Ivory ONE SIZE</t>
  </si>
  <si>
    <t>MS DS MP WP C BASIC</t>
  </si>
  <si>
    <t>Sanders Washed Microfiber Solid 4 pc Q Grey Queen</t>
  </si>
  <si>
    <t>Levtex Kassandra King Quilt Set, 3 Pi Multi King</t>
  </si>
  <si>
    <t>Decor Studio Baily Reversible Tufted 20 x Tan 20 x 30</t>
  </si>
  <si>
    <t>No. 918 Kenji 40 x 96 Medallion Prin Gray 40x96</t>
  </si>
  <si>
    <t>Whim by Martha Stewart Zebra 3-Pc. FullQueen Comfort White FullQueen</t>
  </si>
  <si>
    <t>Tribeca Living Capri Medallion Velvet Oversiz Dark Green King</t>
  </si>
  <si>
    <t>ARUS ARUS Womens Organic Hooded Fu Burgundy Medium</t>
  </si>
  <si>
    <t>Hotel Collection Lagoon Quilted Euro Sham, Crea Sea Blue European Sham</t>
  </si>
  <si>
    <t>Rudolph the Red-Nosed Reindeer 3-Pc. FullQueen Quilt Set Multi FullQueen</t>
  </si>
  <si>
    <t>adidas adidas Toddler Boys Marvel Spi Legend Ink, Footwear White 8</t>
  </si>
  <si>
    <t>Hallmart Collectibles Victoria Reversible 3-Pc. Full Bluewhite FullQueen</t>
  </si>
  <si>
    <t>Tommy Hilfiger TH Soft Floral FullQueen Comf Multi FullQueen</t>
  </si>
  <si>
    <t>Fireside Solid Sherpa Throw Grey 50x60</t>
  </si>
  <si>
    <t>Martha Stewart Collection Reversible Plaid FullQueen Co Red Prestin FullQueen</t>
  </si>
  <si>
    <t>Sharper Image SHARPER IMAGE Cool Comfort 750 White King</t>
  </si>
  <si>
    <t>Kensington Garden 360 Thread Count 100 Egyptian Light Blue King</t>
  </si>
  <si>
    <t>Sunham CLOSEOUT Sunham FullQueen 3- Blue FullQueen</t>
  </si>
  <si>
    <t>Saro Lifestyle Saro Lifestyle Mongolian Throw Gray 22 x 22</t>
  </si>
  <si>
    <t>Hallmart Collectibles Jeremy Reversible 3-Pc. FullQ Blueorange FullQueen</t>
  </si>
  <si>
    <t>Hotel Collection Ultimate MicroCotton 3-Pc. Ba Vapor Combo Towel Sets</t>
  </si>
  <si>
    <t>Oake Colorblock Euro Sham, Created Warm Combo European Sham</t>
  </si>
  <si>
    <t>Bella Luna Henley Faux Linen Textured Cur Taupe 38x84</t>
  </si>
  <si>
    <t>Nautica Cotton Rich Blend Solid Twin X Deck White Twin XL</t>
  </si>
  <si>
    <t>Clean Spaces Clean Color Cotton Pyramid Jac Blue Bath Towels</t>
  </si>
  <si>
    <t>Safavieh Home Light Grey</t>
  </si>
  <si>
    <t>SAFAVIEH CARPETS</t>
  </si>
  <si>
    <t>Martha Stewart Collection Plush Bath Robe Red ONE SIZE</t>
  </si>
  <si>
    <t>SOLID PEPLUM CELERY</t>
  </si>
  <si>
    <t>Morgan Home Sherpa Set of 2 18 x 18 Deco Red Decorative Pillow</t>
  </si>
  <si>
    <t>MORGAN HOME FASHIONS-MCYNET CONS</t>
  </si>
  <si>
    <t>Oake Cotton Tencel Geometric Standa Light Grey Standard Sham</t>
  </si>
  <si>
    <t>Avanti Modern Farmhouse Printed 72 x Multi</t>
  </si>
  <si>
    <t>Sealy Sealy Dream Lux Soft Pillow, S White</t>
  </si>
  <si>
    <t>Sealy Luxury Cotton Queen Mattress P White Queen</t>
  </si>
  <si>
    <t>Sealy Quilted Natural Comfort Feathe White Queen</t>
  </si>
  <si>
    <t>Great Sleep Great Sleep Breathewell Peachy White FullQueen</t>
  </si>
  <si>
    <t>Elrene Elrene All Seasons Faux Silk 5 Taupe 52x108</t>
  </si>
  <si>
    <t>Elrene Elrene Mia Jacquard 52 x 95 Blue 52x95</t>
  </si>
  <si>
    <t>Elrene Elrene Antonia 52 x 84 Black Antique Gold 52x84</t>
  </si>
  <si>
    <t>Elrene Darla 52 x 84 Ironwork Black Navy 52x84</t>
  </si>
  <si>
    <t>Sun Zero Tabbey Grommet Room Darkening Marine 40x95</t>
  </si>
  <si>
    <t>No. 918 Bimini Textured Floral 51 x 8 Lavender 51x84</t>
  </si>
  <si>
    <t>Sun Zero Oslo 52 x 95 Theater Grade E Grey 52x95</t>
  </si>
  <si>
    <t>No. 918 No. 918 Sheer Voile 59 x 84 Teal 59x84</t>
  </si>
  <si>
    <t>Sun Zero Sun Zero Preston 40 x 95 Gro Denim 40x95</t>
  </si>
  <si>
    <t>Sun Zero Sun Zero Preston 40 x 120 Gr Grey</t>
  </si>
  <si>
    <t>Sun Zero Sun Zero Saxon 54 x 63 Black Silver 54x63</t>
  </si>
  <si>
    <t>Disney Disney Pillow Buddy Disney Frozen 2 Elsa Standard</t>
  </si>
  <si>
    <t>Disney Peanuts Snoopy Pillow Buddy Peanuts Snoopy 18 inches</t>
  </si>
  <si>
    <t>Disney Mickey Minnie Mouse Summer S Mickey Minnie</t>
  </si>
  <si>
    <t>Disney Marvel Comics Bright Logo Cott Marvel Comics Beach Towels</t>
  </si>
  <si>
    <t>Waterford Carrick Reversible 4-Pc. King SilverGold King</t>
  </si>
  <si>
    <t>Sun Zero Bronn Industrial 34 Room Dar Black</t>
  </si>
  <si>
    <t>Tommy Hilfiger Ditch Plains Twin Comforter Se Multi Twin</t>
  </si>
  <si>
    <t>Tommy Hilfiger Modern American 16 x 26 Cott White Hand Towels</t>
  </si>
  <si>
    <t>Tommy Hilfiger Modern American 30 x 54 Cott Navy Bath Towels</t>
  </si>
  <si>
    <t>Achim Ombre 46x42 SS Autumn ONE SIZE</t>
  </si>
  <si>
    <t>Exclusive Home Nicole Miller Wellington Embel Silver 54x96</t>
  </si>
  <si>
    <t>Lauren Ralph Lauren Lauren Ralph Lauren Waller Bla White 52x108</t>
  </si>
  <si>
    <t>Keeco Heathered Velvet 12 x 18 Obl Blue No Size</t>
  </si>
  <si>
    <t>Serta Serta Simply Clean Antimicrobi White King</t>
  </si>
  <si>
    <t>Intelligent Design Raina Metallic-Print 50 x 84 Grey 50x84</t>
  </si>
  <si>
    <t>JLA Home Mi Zone Rosalie TwinTwin XL 3 Pinksilve TwinTwin XL</t>
  </si>
  <si>
    <t>Natori N Natori Hanae King Cotton Ble White King</t>
  </si>
  <si>
    <t>510 Design 251 Grey</t>
  </si>
  <si>
    <t>SunSmart Sunsmart Victorio Jacquard Gro Ivory 50x84</t>
  </si>
  <si>
    <t>Madison Park Leona KingCalifornia King 3 P Ivory KingCalifornia King</t>
  </si>
  <si>
    <t>Intelligent Design Marsden Twin 6 Piece Complete Bluegrey Twin</t>
  </si>
  <si>
    <t>Martha Stewart Collection Martha Stewart Essentials Reve Grey King</t>
  </si>
  <si>
    <t>Clean Spaces Living Clean Everyday 7-Pc. So White Queen</t>
  </si>
  <si>
    <t>JLA Home Heritage 8-Pc. King Comforter Whitenavy King</t>
  </si>
  <si>
    <t>Clean Spaces Antimicrobial filled throw ivo Green Floral Throw</t>
  </si>
  <si>
    <t>Madison Park Zuri 4-Pc. King Comforter Set Sand King</t>
  </si>
  <si>
    <t>SunSmart Mirage 50 x 95 Damask Total Grey 50x95</t>
  </si>
  <si>
    <t>Madison Park Signature Solid 8-Pc. Towel Se Blush Towel Sets</t>
  </si>
  <si>
    <t>Sanders Printed Microfiber King Sheet Batik Grey King</t>
  </si>
  <si>
    <t>SensorGel Wellness by Supportive Memory White King</t>
  </si>
  <si>
    <t>SensorGel Cold Touch Gusseted Gel Infuse White King</t>
  </si>
  <si>
    <t>Nourison Winslow Watercolor Grid Accent Multicolor</t>
  </si>
  <si>
    <t>Levtex Levtex Home Simone Floral Full Coral FullQueen</t>
  </si>
  <si>
    <t>Levtex Mirage Medallion Quilted Throw Multi 50x60</t>
  </si>
  <si>
    <t>AQ Textiles Camden Sateen 1250-Thread Coun Ivory King</t>
  </si>
  <si>
    <t>Austin Home Collection T950 EMRSN GRY QN White Queen</t>
  </si>
  <si>
    <t>Austin Home Collection T950 EMRSN GRY KG White King</t>
  </si>
  <si>
    <t>Austin Home Collection T950 EMRSN GRY KG Grey King</t>
  </si>
  <si>
    <t>J Queen New York J Queen New York Garden View K Emerald King</t>
  </si>
  <si>
    <t>Elrene Farmhouse Ball Single Curtain Black 28-48in</t>
  </si>
  <si>
    <t>Lucid Dream Collection by Lucid Medi White King</t>
  </si>
  <si>
    <t>Chesapeake Whitney Ombre Reversible Bath Porcelainb</t>
  </si>
  <si>
    <t>Chesapeake 2-Piece Davenport Bath Rug Set Spa</t>
  </si>
  <si>
    <t>Hotel Collection Cotton 680 Thread Count Full F Palladium Full</t>
  </si>
  <si>
    <t>Hotel Collection Fresco Standard Sham Sage Standard Sham</t>
  </si>
  <si>
    <t>Kensington Garden Warwick 400 Thread Count Sage Ivory Queen</t>
  </si>
  <si>
    <t>Kensington Garden 360 Thread Count 100 Egyptian Light Blue Twin</t>
  </si>
  <si>
    <t>Hotel Collection Turkish 33 x 70 Bath Sheet Steel Bath Sheets</t>
  </si>
  <si>
    <t>Hotel Collection Hotel Collection Finest Elegan White Washcloths</t>
  </si>
  <si>
    <t>Hotel Collection Embroidered Frame European Sha White European Sham</t>
  </si>
  <si>
    <t>Martha Stewart Collection Martha Stewart Lucca Velvet 50 Green 50x84</t>
  </si>
  <si>
    <t>Elite Home Microfiber Whimsical Queen She Bulldog Queen</t>
  </si>
  <si>
    <t>Elite Home Juvi 3-Pc. Twin Sheet Set Grey Twin</t>
  </si>
  <si>
    <t>Hookless Prism Shower Curtain White ONE SIZE</t>
  </si>
  <si>
    <t>Siscovers Siscovers Meadow Decorative Pi Lt Gray</t>
  </si>
  <si>
    <t>Siscovers Siscovers Seacoral IndoorOutd Turqouise</t>
  </si>
  <si>
    <t>Madison Park Donovan 7-Pc. Medallion Jacqua Red California King</t>
  </si>
  <si>
    <t>Madison Park Serene 6-Pc. KingCalifornia K Red KingCalifornia King</t>
  </si>
  <si>
    <t>Sleep Philosophy 3M Thinsulate 300-Thread Co White King</t>
  </si>
  <si>
    <t>Madison Park Amherst 7-Pc. King Comforter S Coral King</t>
  </si>
  <si>
    <t>INKIVY Reeve 50 x 60 Ruched Throw Purple 50x60</t>
  </si>
  <si>
    <t>Woolrich Winter Hills Reversible 3-Pc. Tan FullQueen</t>
  </si>
  <si>
    <t>INKIVY Aero 20 Square Embroidered Ab Blue 20x20</t>
  </si>
  <si>
    <t>INKIVY Jane Cotton Percale Embroidere Navy European Sham</t>
  </si>
  <si>
    <t>Madison Park Eden 50 x 63 Fretwork Burnou Ivory 50x63</t>
  </si>
  <si>
    <t>Hallmart Collectibles Dorine Gray 14 PC Queen Comfor Gray Queen</t>
  </si>
  <si>
    <t>Hallmart Collectibles Fiosa 8-Pc. Reversible Full Co Plumblush Full</t>
  </si>
  <si>
    <t>Hallmart Collectibles Matt 8-Pc. Reversible Full Com Navyivory Full</t>
  </si>
  <si>
    <t>Hallmart Collectibles Sirliya 8-Pc. Reversible Tropi Aquapink Queen</t>
  </si>
  <si>
    <t>Hallmart Collectibles Birena 9-Pc. Embroidered Full Navy Full</t>
  </si>
  <si>
    <t>Hallmart Collectibles Givana 8-Pc. Reversible Queen Ivorylavender Queen</t>
  </si>
  <si>
    <t>Ella Jayne Ella Jayne Wearable Weighted S Natural No Size</t>
  </si>
  <si>
    <t>Ella Jayne Ella Jayne Wearable Weighted S Light Blue No Size</t>
  </si>
  <si>
    <t>Ella Jayne Ella Jayne Wearable Weighted S Aqua No Size</t>
  </si>
  <si>
    <t>Ella Jayne All-Season Soft Brushed Microf Grey King</t>
  </si>
  <si>
    <t>Hotel Collection Embroidered Frame King Comfort Navy King</t>
  </si>
  <si>
    <t>Hotel Collection Ultimate MicroCotton 13 x 13 Oat Washcloths</t>
  </si>
  <si>
    <t>Hotel Collection Borderline 16 x 30 Hand Towe Green Hand Towels</t>
  </si>
  <si>
    <t>Whim by Martha Stewart Seersucker 2-Pc. Twin Comforte Grey TwinTwin XL</t>
  </si>
  <si>
    <t>Charter Club Down Alternative Super Luxe 30 White King</t>
  </si>
  <si>
    <t>Hotel Collection Cotton 680 Thread Count Queen Sand Queen</t>
  </si>
  <si>
    <t>Hotel Collection Cotton 680 Thread Count Queen Ivory Queen</t>
  </si>
  <si>
    <t>Hotel Collection Cotton 680 Thread Count Set of Ivory Standard Pillowcase</t>
  </si>
  <si>
    <t>Hotel Collection Cotton 680 Thread Count Queen Palladium Queen</t>
  </si>
  <si>
    <t>Hotel Collection Cotton 680 Thread Count Set of Palladium Standard Pillowcase</t>
  </si>
  <si>
    <t>Martha Stewart Collection Spa Hand Towel Mourning Dove Hand Towels</t>
  </si>
  <si>
    <t>Hotel Collection Fresco Standard Sham Gold Standard Sham</t>
  </si>
  <si>
    <t>Hotel Collection Fresco King Sham Gold King Sham</t>
  </si>
  <si>
    <t>Charter Club Damask Supima Cotton 550-Threa Red Currant Dark Red Queen</t>
  </si>
  <si>
    <t>Charter Club Damask Supima Cotton 550-Threa Horizon Sky Blue Standard Pillowcase</t>
  </si>
  <si>
    <t>Charter Club Damask Supima Cotton 550-Threa White Full</t>
  </si>
  <si>
    <t>Charter Club Damask Supima Cotton 550-Threa Parchment Beige Queen</t>
  </si>
  <si>
    <t>Charter Club Damask Supima Cotton 550-Threa Parchment Beige Twin XL</t>
  </si>
  <si>
    <t>Charter Club Damask Stripe Supima Cotton 55 Cotton Candy Light Pink King</t>
  </si>
  <si>
    <t>Martha Stewart Collection Tufted Chambray Standard Sham Blue Standard Sham</t>
  </si>
  <si>
    <t>Charter Club Ultra Fine Cotton 800-Thread C White Queen</t>
  </si>
  <si>
    <t>Martha Stewart Collection Essentials Waterproof Bed Bug White King</t>
  </si>
  <si>
    <t>Linum Home Womens Terry Bath Wrap Aqua</t>
  </si>
  <si>
    <t>Shavel Micro Flannel 7 Layers of Wa Smoke Mountain Plaid Queen</t>
  </si>
  <si>
    <t>Martha Stewart Collection Essentials 4-Pc. Printed Micro Floral Meadow King</t>
  </si>
  <si>
    <t>Martha Stewart Collection Solid Open Stock 400-Thread Co Carnation Pink California King Fitted</t>
  </si>
  <si>
    <t>Karin Maki Karin Maki American Denim Quee Blue Queen</t>
  </si>
  <si>
    <t>HP ITL PER SP WH</t>
  </si>
  <si>
    <t>Charter Club Damask Designs Seersucker Cott White Grey European Sham</t>
  </si>
  <si>
    <t>Charter Club Damask Cotton 210-Thread Count Sunglow King</t>
  </si>
  <si>
    <t>Charter Club Damask Designs Wovenblock Cott Smoke Full</t>
  </si>
  <si>
    <t>Hotel Collection Metallic Stone Standard Sham Gold Standard Sham</t>
  </si>
  <si>
    <t>Charter Club 360 Down Chamber Soft Standard White Standard</t>
  </si>
  <si>
    <t>Martha Stewart Collection Cool To Touch Full Mattress Pa White Full</t>
  </si>
  <si>
    <t>Hotel Collection Classic Jardin Quilted 26 x 2 White European Sham</t>
  </si>
  <si>
    <t>Hotel Collection CLOSEOUT Hotel Collection Lin White No Size</t>
  </si>
  <si>
    <t>Martha Stewart Collection Essentials Solid Microfiber 4- Brushed Alloy Full</t>
  </si>
  <si>
    <t>Charter Club Damask Designs Honeycomb 50 x Blue Throw</t>
  </si>
  <si>
    <t>Hotel Collection Hotel Collection Terra Coverle Grey FullQueen</t>
  </si>
  <si>
    <t>Hotel Collection Hotel Collection Layered Frame Jade FullQueen</t>
  </si>
  <si>
    <t>Charter Club Damask Supima Cotton 550-Threa Neo Natural King</t>
  </si>
  <si>
    <t>Charter Club Damask Supima Cotton 550-Threa Moss Queen</t>
  </si>
  <si>
    <t>Hotel Collection CLOSEOUT Hotel Collection Art White Standard Sham</t>
  </si>
  <si>
    <t>Hotel Collection Hotel Collection Petal Sham, E Lightpastel European Sham</t>
  </si>
  <si>
    <t>Charter Club Damask Supima Cotton 550-Threa Moss Twin</t>
  </si>
  <si>
    <t>Charter Club Damask Solid Cotton 550-Thread Stone Queen Fitted</t>
  </si>
  <si>
    <t>Charter Club Damask Stripe Cotton 550-Threa White King Fitted</t>
  </si>
  <si>
    <t>Whim by Martha Stewart Whim by Martha Stewart Collect Brushstroke Full</t>
  </si>
  <si>
    <t>Martha Stewart Collection Essentials 4-Pc. Printed Micro Floral Full</t>
  </si>
  <si>
    <t>Hotel Collection Hotel Collection Cambria Stand White Standard Sham</t>
  </si>
  <si>
    <t>Hotel Collection Hotel Collection Cambria Quilt White European Sham</t>
  </si>
  <si>
    <t>Charter Club Gusseted Medium StandardQueen White Standard</t>
  </si>
  <si>
    <t>Hotel Collection Innovation Cotton Solid 30 x White Bath Towels</t>
  </si>
  <si>
    <t>Hotel Collection 500 Thread Count Micro Cotton White King</t>
  </si>
  <si>
    <t>Hotel Collection Hydrangea Velvet King Coverlet White King Coverlet</t>
  </si>
  <si>
    <t>Hotel Collection Channels King Duvet, Created f White King</t>
  </si>
  <si>
    <t>Martha Stewart Collection LAST ACT Medallion Tufted Vel Burgundy FullQueen</t>
  </si>
  <si>
    <t>Hotel Collection Platinum King Down Comforter White King</t>
  </si>
  <si>
    <t>Whim by Martha Stewart Whim by Martha Stewart Collect NYC Twin XL</t>
  </si>
  <si>
    <t>Martha Stewart Collection Batik Embroidery Quilted Stand Beige Standard Sham</t>
  </si>
  <si>
    <t>Hotel Collection Burnish Bronze FullQueen Duve Bronze FullQueen</t>
  </si>
  <si>
    <t>Hotel Collection Burnish Bronze King Coverlet, Bronze King Coverlet</t>
  </si>
  <si>
    <t>Hotel Collection Burnish Bronze Quilted Euro Sh Bronze European Sham</t>
  </si>
  <si>
    <t>Hotel Collection Cotton Diffused Marble 30 x 5 Vapor Bath Towels</t>
  </si>
  <si>
    <t>Hotel Collection LustEuro Geo Quilted Euro Sham Cream European Sham</t>
  </si>
  <si>
    <t>Whim by Martha Stewart Chenille Dot 3-Pc. King Comfor Grey King</t>
  </si>
  <si>
    <t>Martha Stewart Collection Embroidered Tile 100 Cotton K White King</t>
  </si>
  <si>
    <t>Charter Club 325-Thread Count Cotton 4-Pc. Coral Full</t>
  </si>
  <si>
    <t>Martha Stewart Collection 400-Thread Count Percale 4-Pc. White Queen</t>
  </si>
  <si>
    <t>Hotel Collection Structure King Duvet, Created White King</t>
  </si>
  <si>
    <t>Hotel Collection Structure Quilted Euro Sham, C White European Sham</t>
  </si>
  <si>
    <t>Hotel Collection Structure Quilted King Sham, C White King Sham</t>
  </si>
  <si>
    <t>Hotel Collection Chainlinks King Duvet, Created White King</t>
  </si>
  <si>
    <t>Oake Chunky Knit Throw, Created for Grey Throw</t>
  </si>
  <si>
    <t>Fairfield Square Collection Austin 6-Pc. Reversible Comfor Red King</t>
  </si>
  <si>
    <t>Lacoste Home Solid Percale Full Sheet Set White Full</t>
  </si>
  <si>
    <t>Lacoste Home Meribel Cotton Colorblocked Fu Navy FullQueen</t>
  </si>
  <si>
    <t>Sunham Comfort Soft 17 x 24 Memory Slate 17 x 24</t>
  </si>
  <si>
    <t>Sunham Cheetah 3-Pc. King Comforter S Multi King</t>
  </si>
  <si>
    <t>Sunham Geo 2-Pc. Reversible Twin Comf Grey Twin</t>
  </si>
  <si>
    <t>Sunham Irene 8-Pc. Reversible King Co Blush King</t>
  </si>
  <si>
    <t>Fairfield Square Collection Francie 8-Pc. Reversible Queen Burnt Red Queen</t>
  </si>
  <si>
    <t>Lacoste Home Lacoste Percale Pale Aqua Soli Iced Mint King</t>
  </si>
  <si>
    <t>Sunham Fairfield Square Waverly Cotto Blue Stripe King</t>
  </si>
  <si>
    <t>Fairfield Square Collection Odyssey Reversible 8-Pc. Comfo Blue Queen</t>
  </si>
  <si>
    <t>Sunham T500 CVC Printed Queen Sheet S Grey Queen</t>
  </si>
  <si>
    <t>Sunham T500 CVC Printed Queen Sheet S Multi floral blue Queen</t>
  </si>
  <si>
    <t>Fairfield Square Collection Aspen T1000 CVC Queen sheet se Grey Queen</t>
  </si>
  <si>
    <t>Fairfield Square Collection Aspen T1000 CVC Queen sheet se Blue Queen</t>
  </si>
  <si>
    <t>Fairfield Square Collection Aspen T1000 CVC King sheet set Lilac King</t>
  </si>
  <si>
    <t>Fairfield Square Collection Sophia 8-Pc. Reversible Queen Mauve Queen</t>
  </si>
  <si>
    <t>Sunham Rainbow Stripe 12-Pc. Reversib Multi Queen</t>
  </si>
  <si>
    <t>VCNY Home Carmen 3-Pc. Ruched Queen Duve Burgundy Queen</t>
  </si>
  <si>
    <t>Hotel Collection Bedding, 500 Thread Count Twin White Twin</t>
  </si>
  <si>
    <t>Hotel Collection Turkish 16 x 30 Hand Towel Ivory Hand Towels</t>
  </si>
  <si>
    <t>Hotel Collection Turkish 33 x 70 Bath Sheet White Bath Sheets</t>
  </si>
  <si>
    <t>Brooklyn Loom Cottage Classics Embroidered O Whitemauve King</t>
  </si>
  <si>
    <t>Truly Soft Everyday 3D Puff FullQueen Qu Navy FullQueen</t>
  </si>
  <si>
    <t>Pem America Jersey 2-Pc. Twin Comforter Se Blue Twin</t>
  </si>
  <si>
    <t>Pem America Sea Life Navy 3-Pc. Reversible Navy Blue FullQueen</t>
  </si>
  <si>
    <t>Ella Jayne 2 Pack Cool N Comfort Gel Fib Blue Queen</t>
  </si>
  <si>
    <t>Elegant Comfort Elegant Comfort Reversible Dow Brown KingCalifornia King</t>
  </si>
  <si>
    <t>Aquadance High-Pressure 6-setting Handhe Oil Rubbed Bronze</t>
  </si>
  <si>
    <t>Berkshire 50 x 60 Extra-Fluffy Throw Peacock ONE SIZE</t>
  </si>
  <si>
    <t>Berkshire Berkshire Classic Velvety Plus White FullQueen</t>
  </si>
  <si>
    <t>Berkshire Berkshire Classic Velvety Plus White King</t>
  </si>
  <si>
    <t>DKNY Modern Bloom 50 x 84 Curtain Linen 50x84</t>
  </si>
  <si>
    <t>DKNY Pure Comfy Cotton Stripe King White King Sham</t>
  </si>
  <si>
    <t>DKNY DKNY Pure Comfy King Comforter White King</t>
  </si>
  <si>
    <t>Dainty Home Malibu Linen Look Sheer Gromme Yellow ONE SIZE</t>
  </si>
  <si>
    <t>Welhome Microfiber 21 x 34 Bath Rug White No Size</t>
  </si>
  <si>
    <t>Southshore Fine Linens Southshore Fine Linens Classy Green King</t>
  </si>
  <si>
    <t>Enchante Home Enchante Home Vague 6-Pc. Turk Silver Towel Sets</t>
  </si>
  <si>
    <t>Enchante Home Enchante Home Signature 8-Pc. Waterfall ONE SIZE</t>
  </si>
  <si>
    <t>Mod Lifestyles Velvet 18 Square Decorative P Red 18x18</t>
  </si>
  <si>
    <t>Cheer Collection Shaggy Throw 20 x 20 Pillows Gray 20 x 20</t>
  </si>
  <si>
    <t>Cheer Collection Cheer Collection 2 Pack Shaggy Gray 12x20</t>
  </si>
  <si>
    <t>Spectrum Spectrum Home Organic Cotton J Aqua Queen</t>
  </si>
  <si>
    <t>SPECTRUM HOME TEXTILES</t>
  </si>
  <si>
    <t>US Shade Shutter Cordless Roller Shade Gray 36x66</t>
  </si>
  <si>
    <t>WHOLESPACE INDUSTRIES LTD</t>
  </si>
  <si>
    <t>ienjoy Home Home Collection Premium Ultra Pale Blue Queen</t>
  </si>
  <si>
    <t>Indecor Home Indecor Home 17-Pc. Waffle Bat Aqua No Size</t>
  </si>
  <si>
    <t>eLuxury Natural Foam Latex Pillow, Pac White Standard</t>
  </si>
  <si>
    <t>CLARA CLARK Premier Deep Pocket 4 Pc. Shee Lime King</t>
  </si>
  <si>
    <t>CLARA CLARK Premier Deep Pocket 3 Pc. Shee Orange Twin XL</t>
  </si>
  <si>
    <t>Nestl Bedding Heat and Moisture Reducing Ice White Queen</t>
  </si>
  <si>
    <t>AQ Textiles Bergen Egyptian Cotton Sateen White King</t>
  </si>
  <si>
    <t>Home Weavers Home Weavers Waterford 21 x 3 Green 21 x 34</t>
  </si>
  <si>
    <t>Rizzy Home Rizzy Home Chevron Polyester F Blue</t>
  </si>
  <si>
    <t>Rizzy Home Rizzy Home Botanical Petals Po Natural</t>
  </si>
  <si>
    <t>Protect-A-Bed Protect-A-Bed King Cool Cotton White King</t>
  </si>
  <si>
    <t>J Queen New York J Queen New York Astoria 49 x Sand 49x84</t>
  </si>
  <si>
    <t>J Queen New York Giuliana 33 x 49 Waterfall W Silver ONE SIZE</t>
  </si>
  <si>
    <t>J Queen New York Satinique Quilted FullQueen C Natural FullQueen</t>
  </si>
  <si>
    <t>J Queen New York J Queen New York Astoria King White King</t>
  </si>
  <si>
    <t>J Queen New York Maribella Crimson Queen Comfor Crimson Queen</t>
  </si>
  <si>
    <t>Mainstream International Inc. Cotton Solid 27 x 52 Bath To Grey Bath Towels</t>
  </si>
  <si>
    <t>LOFT EVOLUTION by Loft Medium Orange ONE SIZE</t>
  </si>
  <si>
    <t>BedVoyage BedVoyage Eco-Melange 4 Piece Silver Queen</t>
  </si>
  <si>
    <t>BLISSY BLISSY 22-Momme Silk Pillowcas Multi King Pillowcase</t>
  </si>
  <si>
    <t>BLISSY LLC</t>
  </si>
  <si>
    <t>The Grand Mastertex Pillow Protectors, Q White Queen</t>
  </si>
  <si>
    <t>Pillow Guy Down Alternative Side Back S Navyteal King</t>
  </si>
  <si>
    <t>Laura Ashley Laura Ashley Rowland Window Va Breeze Blue No Size</t>
  </si>
  <si>
    <t>City Scene Ceres King Comforter Set Pastel Green King</t>
  </si>
  <si>
    <t>Nautica Riverview Colorblocked Quilted BlueMulti Standard Sham</t>
  </si>
  <si>
    <t>Tommy Bahama Home Tommy Bahama Bonny Cove White Coconut FullQueen</t>
  </si>
  <si>
    <t>Stone Cottage Whitehills FullQueen Quilt Se Linen FullQueen</t>
  </si>
  <si>
    <t>Kenneth Cole New York Kenneth Cole New York Miro Sol White King</t>
  </si>
  <si>
    <t>Laura Ashley Adelina Ruffle King Comforter White King</t>
  </si>
  <si>
    <t>Eclipse Kendall Blackout Window Curtai Coral 42x84</t>
  </si>
  <si>
    <t>Traditions by Waverly Traditions by Waverly 3-Piece Gray FullQueen</t>
  </si>
  <si>
    <t>WAVERLY/KEECO LLC</t>
  </si>
  <si>
    <t>Goodnight Sleep 1200 TC Cotton Poly 6-PC SS So Ivory California King</t>
  </si>
  <si>
    <t>Glitzhome Glitzhome Plaid Woven Throw Multi No Size</t>
  </si>
  <si>
    <t>Sharper Image SHARPER IMAGE Cool Comfort 750 Grey King</t>
  </si>
  <si>
    <t>Serta Arctic 15x Cooling Jumbo Bed P White Standard</t>
  </si>
  <si>
    <t>Allied Home Pure Weave Mattress Protector, White Queen</t>
  </si>
  <si>
    <t>Charter Club Lace Medallion Euro Sham, Crea White European Sham</t>
  </si>
  <si>
    <t>Nautica Nautica Oceane Towel Set, 6 Pi Navy Towel Sets</t>
  </si>
  <si>
    <t>Martha Stewart Collection Nouveau Floral Velvet Standard Blue Standard Sham</t>
  </si>
  <si>
    <t>Charter Club Damask Designs Chevron 50 x 6 Pomegranate Throw</t>
  </si>
  <si>
    <t>Martha Stewart Collection Printed Cotton Flannel 4-Pc. Q Checker Plaid Queen</t>
  </si>
  <si>
    <t>Hotel Collection Toile Medallion King Coverlet, Fresh Cream King Coverlet</t>
  </si>
  <si>
    <t>WHIT BLAC 10830 BLACK SM 2PC</t>
  </si>
  <si>
    <t>Birch Trail 3pc Decorative Throw and Pillo Red Ho Ho Ho 60x50</t>
  </si>
  <si>
    <t>Jessica Simpson Modern Heirloom Fay Flower 3-P Pink FullQueen</t>
  </si>
  <si>
    <t>Lucid Dream Collection by Lucid 108 Gray 108x90</t>
  </si>
  <si>
    <t>CVB INC</t>
  </si>
  <si>
    <t>INKIVY Cody 3 Piece Cotton Duvet Cove Gray, Yellow KingCalifornia King</t>
  </si>
  <si>
    <t>Hotel Collection Lux Flannel Queen Sheet Set, C White Queen</t>
  </si>
  <si>
    <t>Charter Club 325-Thread Count Cotton 3-Pc. Blue Cosmos Twin</t>
  </si>
  <si>
    <t>Sanders 5 Piece Sheet Set With Throw Q Charcoal Plaid Queen</t>
  </si>
  <si>
    <t>Vince Camuto Vince Camuto Lyon Shower Curta Blue and White 72 x 72</t>
  </si>
  <si>
    <t>Enchante Home Luna Turkish Cotton Towel 6 Pi White Towel Sets</t>
  </si>
  <si>
    <t>Charter Club Sleep Luxe Cotton 800-Thread C Petal Twin XL</t>
  </si>
  <si>
    <t>Caro Home Zebra Stripe 28 x 54 Bath To Charcoal Bath Towels</t>
  </si>
  <si>
    <t>Kenneth Cole New York Kenneth Cole New York Nila Rev Smoke Gray FullQueen</t>
  </si>
  <si>
    <t>Hotel Collection Colorblock King Duvet, Created Palladium King</t>
  </si>
  <si>
    <t>Oake Cotton Tencel Reversible 3-Pc. Blushterracotta FullQueen</t>
  </si>
  <si>
    <t>Infinity Home 50 x 60 Textured Throw Blush</t>
  </si>
  <si>
    <t>Kensington Garden Alexandria 600 Thread Count La Charcoal King</t>
  </si>
  <si>
    <t>Martha Stewart Collection Scallop Foliage 3-Piece King C Floral King</t>
  </si>
  <si>
    <t>Charter Club Damask Designs Buds Branches Vintage Claret FullQueen</t>
  </si>
  <si>
    <t>Charter Club Damask Designs 300-Thread Coun Coral Twin</t>
  </si>
  <si>
    <t>Hotel Collection Velvet Queen Coverlet, Created Palladium FullQueen Coverlet</t>
  </si>
  <si>
    <t>Hotel Collection Classic Textured Scroll Washcl White Gold Combo Washcloth</t>
  </si>
  <si>
    <t>HOTEL COLLECTION-MMG/FELPINTER IND</t>
  </si>
  <si>
    <t>Hotel Collection Distressed Chevron King Comfor Ivory King</t>
  </si>
  <si>
    <t>Sunham Danica 8-Pc. Queen Comforter a Navy Queen</t>
  </si>
  <si>
    <t>Sanders 5 Piece Sheet Set With Throw Q Light Grey Snow Flurries Queen</t>
  </si>
  <si>
    <t>Mod Lifestyles Sculpted Robin Bird Decorative Pastel Blue 18x18</t>
  </si>
  <si>
    <t>DMSK DKSLD 3PC FQ</t>
  </si>
  <si>
    <t>Hallmart Collectibles Aviary Blossom 8-Pc FullQueen Ivoryblush FullQueen</t>
  </si>
  <si>
    <t>Kensington Garden Alexandria 600 Thread Count La Silver King</t>
  </si>
  <si>
    <t>Hallmart Collectibles Pagoda Floral 9-Pc. Queen Comf Redgold Queen</t>
  </si>
  <si>
    <t>Hotel Collection Illusions King Duvet, Created Sand King</t>
  </si>
  <si>
    <t>Sunham Holiday Sentiments 8-Pc. Queen Red Queen</t>
  </si>
  <si>
    <t>Birch Trail 3pc Decorative Throw and Pillo Navy Fair Isle 60x50</t>
  </si>
  <si>
    <t>Linenspa Linenspa Signature Plush 2-Pac White Standard</t>
  </si>
  <si>
    <t>Martha Stewart Collection Poinsettia Holiday Hooked 22 Ms Poinsetta H Rug 5X2 No Size</t>
  </si>
  <si>
    <t>Sanders Washed Microfiber Solid 4 pc K Blue King</t>
  </si>
  <si>
    <t>Serta Serta Plush Heated Blanket, Qu Dark Gray Queen</t>
  </si>
  <si>
    <t>Hotel Collection Illusions King Coverlet, Creat Sand King Coverlet</t>
  </si>
  <si>
    <t>Popular Bath Crawford 3 Piece Rug Set Beige 3 Piece Set</t>
  </si>
  <si>
    <t>Units</t>
  </si>
  <si>
    <t>Value</t>
  </si>
  <si>
    <t>UPC</t>
  </si>
  <si>
    <t>ITEM DESCRIPTION</t>
  </si>
  <si>
    <t>ORIGINAL QTY</t>
  </si>
  <si>
    <t>TOTAL ORIGINAL RETAIL</t>
  </si>
  <si>
    <t>COLOR</t>
  </si>
  <si>
    <t>DEPARTMENT NAME</t>
  </si>
  <si>
    <t>VENDOR NAME</t>
  </si>
  <si>
    <t>IMAGE</t>
  </si>
  <si>
    <t>SILVER</t>
  </si>
  <si>
    <t>SHEETS &amp;CASES</t>
  </si>
  <si>
    <t>Ella Jayne Overstuffed Plush MediumFirm White King</t>
  </si>
  <si>
    <t>WHITE</t>
  </si>
  <si>
    <t>PILLWS&amp;PADS</t>
  </si>
  <si>
    <t>ELLA JAYNE/PILLOW GUY INC</t>
  </si>
  <si>
    <t>GRAY</t>
  </si>
  <si>
    <t>MOD BEDDING</t>
  </si>
  <si>
    <t>CHIC HOME DESIGN LLC</t>
  </si>
  <si>
    <t>DEC PILL/THRW</t>
  </si>
  <si>
    <t>P KAUFMANN INC</t>
  </si>
  <si>
    <t>LUSH DECOR/TRIANGLE HOME FASHIONS</t>
  </si>
  <si>
    <t>NAVY</t>
  </si>
  <si>
    <t>JESSICA SIMPSON/PEKING HANDICRAFT</t>
  </si>
  <si>
    <t>NATURAL</t>
  </si>
  <si>
    <t>IENJOY HOME/IENJOY LLC</t>
  </si>
  <si>
    <t>Addison Park Brystol blue Queen 9pc Comfort Blue Brown Queen</t>
  </si>
  <si>
    <t>JLA HOME/E &amp; E CO LTD</t>
  </si>
  <si>
    <t>HOTEL LUX BDG</t>
  </si>
  <si>
    <t>HOTEL BY C CLUB-EDI/RWI/KADRI MILLS</t>
  </si>
  <si>
    <t>BATH RUGS/ACC</t>
  </si>
  <si>
    <t>SAFFRON FABS CORPORATION</t>
  </si>
  <si>
    <t>Royal Luxe White Goose 240-Thread Count K White King</t>
  </si>
  <si>
    <t>DOWN COMFORTR</t>
  </si>
  <si>
    <t>BLUE RIDGE HOME FASHIONS</t>
  </si>
  <si>
    <t>MED PURPLE</t>
  </si>
  <si>
    <t>ELITE HOME PRODUCTS INC</t>
  </si>
  <si>
    <t>CHARCOAL</t>
  </si>
  <si>
    <t>TRAD TXTL COL</t>
  </si>
  <si>
    <t>J QUEEN NEW YORK INC</t>
  </si>
  <si>
    <t>TURQ/AQUA</t>
  </si>
  <si>
    <t>CC MOD BEDDNG</t>
  </si>
  <si>
    <t>CHARTER CLUB-EDI/RWI/VTX</t>
  </si>
  <si>
    <t>PB TOWELS</t>
  </si>
  <si>
    <t>MMG-HOTEL BY CC</t>
  </si>
  <si>
    <t>CHESAPEAKE MERCHANDISING INC</t>
  </si>
  <si>
    <t>SUNHAM CO USA</t>
  </si>
  <si>
    <t>Fairfield Square Collection Paris Gold 8-Pc. Reversible Qu White Queen</t>
  </si>
  <si>
    <t>LT/PASBLUE</t>
  </si>
  <si>
    <t>ELRENE HOME FASHIONS</t>
  </si>
  <si>
    <t>Ella Jayne Overstuffed Plush MediumFirm White Standard</t>
  </si>
  <si>
    <t>Cheer Collection Ultra Soft Faux Fur to Micropl Grey ONE SIZE</t>
  </si>
  <si>
    <t>DIGITALPRINTS USA CORP</t>
  </si>
  <si>
    <t>LT BEIGE</t>
  </si>
  <si>
    <t>S LICHTENBERG &amp; CO.</t>
  </si>
  <si>
    <t>Sunham Colesville 3-Pc. Comforter Set Blush FullQueen</t>
  </si>
  <si>
    <t>RED</t>
  </si>
  <si>
    <t>RUSTCOPPER</t>
  </si>
  <si>
    <t>AQ TEXTILES</t>
  </si>
  <si>
    <t>BLACK</t>
  </si>
  <si>
    <t>BROWN</t>
  </si>
  <si>
    <t>MARTHA STEWART-EDI/RWI/WELSPUN</t>
  </si>
  <si>
    <t>Martha Stewart Collection Quick Dry Reversible Bath Towe Biscay Blue Bath Towels</t>
  </si>
  <si>
    <t>MED BLUE</t>
  </si>
  <si>
    <t>HOME DESIGN STUDIO-EDI/WELSPUN</t>
  </si>
  <si>
    <t>CRC GENERIC</t>
  </si>
  <si>
    <t>NO COLOR</t>
  </si>
  <si>
    <t>UPC DEFAULT</t>
  </si>
  <si>
    <t>NON-MRCHNDSE USE ONLY</t>
  </si>
  <si>
    <t>GREEN</t>
  </si>
  <si>
    <t>WATERFORD/W-C HOME FASHIONS LLC</t>
  </si>
  <si>
    <t>NEO COLLECTNS</t>
  </si>
  <si>
    <t>PERI HOME/CHF INDUSTRIES</t>
  </si>
  <si>
    <t>BLUE</t>
  </si>
  <si>
    <t>LAURA ASHLEY/REVMAN INTERNATIONAL</t>
  </si>
  <si>
    <t>YOUNG CL HOME</t>
  </si>
  <si>
    <t>JUICY/YMF CARPET INC</t>
  </si>
  <si>
    <t>MED ORANGE</t>
  </si>
  <si>
    <t>CATHAY HOME INC</t>
  </si>
  <si>
    <t>Charter Club Egyptian Cotton 700-Thread Cou White King</t>
  </si>
  <si>
    <t>CHARTER CLUB-EDI/BIRLA CENTURY</t>
  </si>
  <si>
    <t>Charter Club Damask Stripe Supima Cotton 55 Glacier Light Green Queen</t>
  </si>
  <si>
    <t>Martha Stewart Collection Allergy Wise Dobby Stripe Full White FullQueen</t>
  </si>
  <si>
    <t>PB COMFORTERS</t>
  </si>
  <si>
    <t>MMG-MARTHA STEWART/KEECO LLC</t>
  </si>
  <si>
    <t>LT/PAS GRY</t>
  </si>
  <si>
    <t>HOTEL BY CC-EDI/RWI/SARITA HANDA</t>
  </si>
  <si>
    <t>Charter Club Damask Stripe Supima Cotton 55 White Full</t>
  </si>
  <si>
    <t>WINE</t>
  </si>
  <si>
    <t>PB BLANKETS</t>
  </si>
  <si>
    <t>Royal Luxe Royal Luxe Microfiber Color Do White King</t>
  </si>
  <si>
    <t>CHF INDUSTRIES INC</t>
  </si>
  <si>
    <t>Royal Luxe Royal Luxe Microfiber Color Do Cream FullQueen</t>
  </si>
  <si>
    <t>PEM AMERICA INC</t>
  </si>
  <si>
    <t>MRTH STWRT WH</t>
  </si>
  <si>
    <t>DARK BLUE</t>
  </si>
  <si>
    <t>DONNA KARAN HOME/CHF INDUSTRIES</t>
  </si>
  <si>
    <t>DARK GRAY</t>
  </si>
  <si>
    <t>MED BEIGE</t>
  </si>
  <si>
    <t>Hotel Collection 680 Thread-Count King Duvet Co White King</t>
  </si>
  <si>
    <t>HOTEL COLLECTION-MMG/HIMATSINGKA</t>
  </si>
  <si>
    <t>EDDIE BAUER/REVMAN INTERNATIONAL</t>
  </si>
  <si>
    <t>LT/PAS YEL</t>
  </si>
  <si>
    <t>LEVTEX BABY/LEVTEX LLC</t>
  </si>
  <si>
    <t>MEDIUM RED</t>
  </si>
  <si>
    <t>TOWELS</t>
  </si>
  <si>
    <t>ARUSA INTERNATIONAL INC</t>
  </si>
  <si>
    <t>CHARTER CLUB-EDI/RWI/NAISHAT</t>
  </si>
  <si>
    <t>GOLD</t>
  </si>
  <si>
    <t>EXCLUSIVE HOME/AMALGAMATED TEXTILES</t>
  </si>
  <si>
    <t>PREMIER COMFORT/E &amp; E CO LTD</t>
  </si>
  <si>
    <t>AMERICAN TEXTILE</t>
  </si>
  <si>
    <t>Archaeo Archaeo 52 x 95 Washed Cotto White 52x95</t>
  </si>
  <si>
    <t>MED PINK</t>
  </si>
  <si>
    <t>MMG-ESSENTIALS BY MARTHA/JLA HOME</t>
  </si>
  <si>
    <t>Sunham Colesville 3-Pc. Comforter Set Blush King</t>
  </si>
  <si>
    <t>DARK BEIGE</t>
  </si>
  <si>
    <t>Martha Stewart Collection Solid Open Stock 400-Thread Co Ivory Queen Flat</t>
  </si>
  <si>
    <t>MS COL SHEETS</t>
  </si>
  <si>
    <t>MARTHA STEWART-EDI/RWI/NAISHAT</t>
  </si>
  <si>
    <t>LT/PAS BWN</t>
  </si>
  <si>
    <t>NANSHING AMERICA INC</t>
  </si>
  <si>
    <t>BEIGEKHAKI</t>
  </si>
  <si>
    <t>PURPLE</t>
  </si>
  <si>
    <t>YELLOW</t>
  </si>
  <si>
    <t>NAUTICA/REVMAN INTERNATIONAL</t>
  </si>
  <si>
    <t>LT/PASPINK</t>
  </si>
  <si>
    <t>HALLMART COLLECTIBLES INC</t>
  </si>
  <si>
    <t>BEIGE</t>
  </si>
  <si>
    <t>LEVINSOHN TEXTILE CO INC</t>
  </si>
  <si>
    <t>PILLOWS &amp; PAD</t>
  </si>
  <si>
    <t>MARTHA STEWART-MMG/HOLLANDER</t>
  </si>
  <si>
    <t>ACHIM IMPORTING CO INC</t>
  </si>
  <si>
    <t>MAINSTREAM INTERNATIONAL INC</t>
  </si>
  <si>
    <t>LT/PAS GRN</t>
  </si>
  <si>
    <t>OSCAR OLIVER/J QUEEN NEW YORK INC</t>
  </si>
  <si>
    <t>STONE COTTAGE/REVMAN INTERNATIONAL</t>
  </si>
  <si>
    <t>Hallmart Collectibles Hedron 14-Pc. Queen Comforter Gold Queen</t>
  </si>
  <si>
    <t>Hotel Collection 680 Thread-Count Queen Duvet C White FullQueen</t>
  </si>
  <si>
    <t>CITY SCENE/REVMAN INTERNATIONAL INC</t>
  </si>
  <si>
    <t>PINK</t>
  </si>
  <si>
    <t>SensorGel Cool Coat Arctic Gusset Gel In White Standard</t>
  </si>
  <si>
    <t>SOFT-TEX MFG CO/SOFT-TEX INT'L INC</t>
  </si>
  <si>
    <t>RIZZY HOME/RIZTEX USA INC</t>
  </si>
  <si>
    <t>DARK PINK</t>
  </si>
  <si>
    <t>MMG-MARTHA STEWART/YUNUS</t>
  </si>
  <si>
    <t>MEDIUN RED</t>
  </si>
  <si>
    <t>TOMMY HILFIGER/HIMATSINGKA AMERICA</t>
  </si>
  <si>
    <t>CHRISTIAN SIRIANO HOME/PEM AMERICA</t>
  </si>
  <si>
    <t>TEXTILE NEST INC</t>
  </si>
  <si>
    <t>Hotel Collection Fresco FullQueen Comforter Gold FullQueen</t>
  </si>
  <si>
    <t>Charter Club Damask Supima Cotton 550-Threa Stone Dark Grey King</t>
  </si>
  <si>
    <t>CHRT CLB DSGN</t>
  </si>
  <si>
    <t>CHARTER CLUB/SHANGHAI SUNWIN IN</t>
  </si>
  <si>
    <t>BRNOVERFLW</t>
  </si>
  <si>
    <t>Charter Club Soft StandardQueen Down Pillo White StandardQueen</t>
  </si>
  <si>
    <t>CHARTER CLUB-EDI/DOWNLITE INT'L</t>
  </si>
  <si>
    <t>MALOUF/CVB INC</t>
  </si>
  <si>
    <t>Fairfield Square Collection Aspen T1000 CVC Queen sheet se Ivory Queen</t>
  </si>
  <si>
    <t>Martha Stewart Collection Essential Queen Mattress Pad White Queen</t>
  </si>
  <si>
    <t>MARTHA STEWART-E&amp;E CO/JLA HOME</t>
  </si>
  <si>
    <t>POPULAR BATH PRODUCTS</t>
  </si>
  <si>
    <t>HOME ACCENT PILLOW INC</t>
  </si>
  <si>
    <t>SensorPEDIC 2 Pack SofLOFT Medium Density White Queen</t>
  </si>
  <si>
    <t>SensorGel Cool Fusion Standard Pillow wi White Standard</t>
  </si>
  <si>
    <t>Morning Glamour Single Signature Box -Pretty F Gold</t>
  </si>
  <si>
    <t>MORNING GLAMOUR/TCG CONTINUUM LLC</t>
  </si>
  <si>
    <t>MED GRAY</t>
  </si>
  <si>
    <t>KENNETH COLE/REVMAN INTERNATIONAL</t>
  </si>
  <si>
    <t>PB SEASON BED</t>
  </si>
  <si>
    <t>MARTHA STEWART-MMG/COLLECTION 43417</t>
  </si>
  <si>
    <t>RIO HOME FASHIONS</t>
  </si>
  <si>
    <t>HOTEL BY C CLUB-EDI/RWI/FA</t>
  </si>
  <si>
    <t>IDEA NUOVA INC</t>
  </si>
  <si>
    <t>MICHAEL ARAM/CHF INDUSTRIES INC</t>
  </si>
  <si>
    <t>HOME WEAVERS INC</t>
  </si>
  <si>
    <t>LT/PAS PUR</t>
  </si>
  <si>
    <t>NATORI/JLA HOME/E &amp; E CO LTD</t>
  </si>
  <si>
    <t>MARIMEKKO/REVMAN INTERNATIONAL</t>
  </si>
  <si>
    <t>HOTEL BY CHARTER CLUB-MMG</t>
  </si>
  <si>
    <t>Hotel Collection Parallel King Comforter, Creat Blue King</t>
  </si>
  <si>
    <t>HOTEL COLLECTION-EDI/RWI/PACFUNG</t>
  </si>
  <si>
    <t>VERA WANG/REVMAN INTERNATIONAL</t>
  </si>
  <si>
    <t>LINUM HOME TEXTILES LLC</t>
  </si>
  <si>
    <t>SISCOVERS/SIS ENTERPRISES INC</t>
  </si>
  <si>
    <t>Goodnight Sleep 1200 TC Cotton Poly 6-PC SS So White Queen</t>
  </si>
  <si>
    <t>GOODFUL/WELSPUN USA INC</t>
  </si>
  <si>
    <t>Hotel Collection Borderline 30 x 56 Bath Towe Celadon Bath Towels</t>
  </si>
  <si>
    <t>DARK RED</t>
  </si>
  <si>
    <t>MMG-CHARTER CLUB</t>
  </si>
  <si>
    <t>Charter Club Damask Designs Diamond Dot 300 White FullQueen</t>
  </si>
  <si>
    <t>Charter Club Damask Stripe Supima Cotton 55 Glacier Light Green King</t>
  </si>
  <si>
    <t>CHARTER CLUB-EDI/RWI/LAMEIRINHO</t>
  </si>
  <si>
    <t>Hotel Collection Cotton 680 Thread Count King F White King</t>
  </si>
  <si>
    <t>Hotel Collection Cotton 680 Thread Count King F Palladium King</t>
  </si>
  <si>
    <t>ENCHANTE HOME/TURKO TEXTILE LLC</t>
  </si>
  <si>
    <t>SANDERS COLLECTION</t>
  </si>
  <si>
    <t>MARTHA STEWART-EDI/E &amp; E CO LTD</t>
  </si>
  <si>
    <t>ORANGE</t>
  </si>
  <si>
    <t>HAPPYCARE TEXTILES INC</t>
  </si>
  <si>
    <t>PB-BTH-RUG/AC</t>
  </si>
  <si>
    <t>HOTEL BY C CLUB-EDI/PHOENIX DOWN</t>
  </si>
  <si>
    <t>Charter Club White Down Lightweight Twin Co White Twin</t>
  </si>
  <si>
    <t>Charter Club Damask Cotton 550-Thread Count Smoke Grey King</t>
  </si>
  <si>
    <t>CALVIN KLEIN HOME/HIMATSINGKA AMER</t>
  </si>
  <si>
    <t>LACOSTE/SUNHAM HOME FASHIONS</t>
  </si>
  <si>
    <t>HOTEL BY CHARTER CLUB-EDI/DOWNLITE</t>
  </si>
  <si>
    <t>CHARTER CLUB-MMG</t>
  </si>
  <si>
    <t>FRENCH CONNECTION/YMF CARPET INC</t>
  </si>
  <si>
    <t>SWEET HOME COLLECTION/BED BATH N MO</t>
  </si>
  <si>
    <t>SensorGel Dual Comfort, Gel-Infused Memo White Standard</t>
  </si>
  <si>
    <t>E BY DESIGN LLC</t>
  </si>
  <si>
    <t>SARO TRADING COMPANY</t>
  </si>
  <si>
    <t>KEECO LLC/GRASSI ASSOCIATES INC</t>
  </si>
  <si>
    <t>The Grand Mastertex The Grand Fitted Mat White FullQueen</t>
  </si>
  <si>
    <t>RIGHT CHOICE BEDDING CORP</t>
  </si>
  <si>
    <t>Charter Club Damask Designs Textured Paisle Cobalt</t>
  </si>
  <si>
    <t>MED YELLOW</t>
  </si>
  <si>
    <t># of Pallets</t>
  </si>
  <si>
    <t>Hotel Collection European White Goose Down Ligh White King</t>
  </si>
  <si>
    <t>Hotel Collection Hotel Collection Terra Comfort Grey King</t>
  </si>
  <si>
    <t>Hotel Collection Fresco Quilted King Coverlet Gold King</t>
  </si>
  <si>
    <t>JETRICH CANADA LIMITED</t>
  </si>
  <si>
    <t>Hotel Collection Primaloft Silver Series Hi Lof White King</t>
  </si>
  <si>
    <t>Hotel Collection Fresco King Duvet Cover Gold King</t>
  </si>
  <si>
    <t>Hotel Collection Hotel Collection Tessellate Fu Lightpastel Gr FullQueen</t>
  </si>
  <si>
    <t>CHARISMA/PEM AMERICA INC</t>
  </si>
  <si>
    <t>Hotel Collection Primaloft Silver 450-Thread Co White FullQueen</t>
  </si>
  <si>
    <t>Hotel Collection Leaflet King Duvet, Created fo Gold King</t>
  </si>
  <si>
    <t>MED BROWN</t>
  </si>
  <si>
    <t>Charter Club Damask Designs Seersucker 150- White Grey FullQueen</t>
  </si>
  <si>
    <t>BETTER TRENDS LLC</t>
  </si>
  <si>
    <t>Charter Club Damask Designs Woven Tile 3-Pc Grey King</t>
  </si>
  <si>
    <t>Kensington Garden Somerset 800 Thread Count Silv White Queen</t>
  </si>
  <si>
    <t>Madison Park Madison Park Tuscany 3-Pc King Ivory KingCalifornia King</t>
  </si>
  <si>
    <t>Hotel Collection Hotel Collection Bedford Geo F Wheat FullQueen</t>
  </si>
  <si>
    <t>TOMMY BAHAMA/REVMAN INT'L</t>
  </si>
  <si>
    <t>POPPY &amp; FRITZ/REVMAN INTERNATIONAL</t>
  </si>
  <si>
    <t>KASSATEX INC</t>
  </si>
  <si>
    <t>Madison Park Madison Park Tuscany 3-Pc Full Ivory FullQueen</t>
  </si>
  <si>
    <t>ASSORTED</t>
  </si>
  <si>
    <t>Charter Club Damask Supima Cotton 550-Threa Parchment Beige King</t>
  </si>
  <si>
    <t>TEXTILES-EUROPE INC</t>
  </si>
  <si>
    <t>Charter Club Damask Stripe Supima Cotton 55 White Queen</t>
  </si>
  <si>
    <t>CHARTER CLUB-EDI/JLA HOME</t>
  </si>
  <si>
    <t>Charter Club Damask Designs 3-Pc. Tropical Coral FullQueen</t>
  </si>
  <si>
    <t>Hotel Collection Cotton 680 Thread Count Extra- White Queen</t>
  </si>
  <si>
    <t>ROSELLI TRADING COMPANY</t>
  </si>
  <si>
    <t>HOTEL COLLECTION-EDI/JLA HOME</t>
  </si>
  <si>
    <t>Charter Club Damask Supima Cotton 550-Threa White Twin XL</t>
  </si>
  <si>
    <t>Hotel Collection Step Up Down-Alternative Firm- White King</t>
  </si>
  <si>
    <t>Fairfield Square Collection Aspen T1000 CVC King sheet set Grey King</t>
  </si>
  <si>
    <t>LUV BY BETSEY/REVMAN INTERNATIONAL</t>
  </si>
  <si>
    <t>Fairfield Square Collection Paris Gold 8-Pc. Reversible Qu White King</t>
  </si>
  <si>
    <t>Hotel Collection Cotton 680 Thread Count Queen White Queen</t>
  </si>
  <si>
    <t>MYTEX LLC</t>
  </si>
  <si>
    <t>AQ Textiles Ultra Cool 700-Thread Count 4- Cameo Pink Queen</t>
  </si>
  <si>
    <t>SURE FIT HOME PRODUCTS</t>
  </si>
  <si>
    <t>Hallmart Collectibles Fiosa 8-Pc. Reversible Queen C Plumblush Queen</t>
  </si>
  <si>
    <t>Fairfield Square Collection Inez 8-Pc. Reversible Queen Co Multi Queen</t>
  </si>
  <si>
    <t>AQ Textiles Optimum Performance 625-Thread White Queen</t>
  </si>
  <si>
    <t>KEECO LLC</t>
  </si>
  <si>
    <t>Ella Jayne Allergy -Free Dust Mite Free M White Queen</t>
  </si>
  <si>
    <t>Charter Club 360 Down Chamber 325-Thread Co White Standard</t>
  </si>
  <si>
    <t>SOUTHSHORE FINE LIN/BARGAIN ONLINE</t>
  </si>
  <si>
    <t>Martha Stewart Collection Gilded Floral Velvet Quilted K Tan King Sham</t>
  </si>
  <si>
    <t>Madison Park Madison Park Aubrey Jacquard S Navy 72 x 72</t>
  </si>
  <si>
    <t>MOD LIFESTYLES</t>
  </si>
  <si>
    <t>AVANTI LINENS/AVANTI LINENS INC</t>
  </si>
  <si>
    <t>ESSENTIALS BY MARTHA/JLA HOME</t>
  </si>
  <si>
    <t>GREENLAND HOME FASHIONS</t>
  </si>
  <si>
    <t>Hotel Collection 680 Thread-Count European Sham White European Sham</t>
  </si>
  <si>
    <t>Royal Luxe Royal Luxe Microfiber Color Do White FullQueen</t>
  </si>
  <si>
    <t>LT/PAS ORG</t>
  </si>
  <si>
    <t>MARTHA STEWART-EDI/DOWNLITE</t>
  </si>
  <si>
    <t>BERKSHIRE BLANKET</t>
  </si>
  <si>
    <t>Hotel Collection Parallel European Sham, Create Blue European Sham</t>
  </si>
  <si>
    <t>Home Weavers Bellflower Bath Rug 17 x 24 Red No Size</t>
  </si>
  <si>
    <t>ENVOGUE INTERNATIONAL LLC</t>
  </si>
  <si>
    <t>Charter Club Continuous Comfort Soft King P White King</t>
  </si>
  <si>
    <t>Charter Club Continuous Cool Medium Firm St White Standard</t>
  </si>
  <si>
    <t>Disney 2-Pc. Travel Blanket Santa H Star Wars Standard</t>
  </si>
  <si>
    <t>DISNEY/JAY FRANCO &amp; SONS</t>
  </si>
  <si>
    <t>Elite Home Coastal 4-Pc. Printed King She Oceanside Sand King</t>
  </si>
  <si>
    <t>PILLOW GUY INC</t>
  </si>
  <si>
    <t>ELEGANT COMFORT/BESPOLITAN INC</t>
  </si>
  <si>
    <t>Martha Stewart Collection Wont Go Flat Core Extra Firm White Standard</t>
  </si>
  <si>
    <t>MARTHA S-EDI/RWI/PEM-SHEETS</t>
  </si>
  <si>
    <t>Martha Stewart Collection Feels Like Down StandardQueen White Standard</t>
  </si>
  <si>
    <t>BRIGHTBLUE</t>
  </si>
  <si>
    <t>Martha Stewart Collection Midland Vine 100 Cotton Stand Light BeigePurple Standard Sham</t>
  </si>
  <si>
    <t>KENNEY MANUFACTURING COMPANY</t>
  </si>
  <si>
    <t>Dearfoams Reverse Chenille Dec Pillow, Clay 20x20</t>
  </si>
  <si>
    <t>DEC PIL/THRWS</t>
  </si>
  <si>
    <t>Hotel Collection Ultimate MicroCotton Symmetry Dark Carbon Bath Towels</t>
  </si>
  <si>
    <t>Martha Stewart Collection Essentials 2-Pack King Pillow White King</t>
  </si>
  <si>
    <t>MARTHA STEWART-EDI/KEECO LLC</t>
  </si>
  <si>
    <t>Hotel Collection Ultimate MicroCotton 30 x 5 White Bath Towels</t>
  </si>
  <si>
    <t>Hotel Collection Hotel Collection Finest Elegan Ivory Hand Towels</t>
  </si>
  <si>
    <t>Martha Stewart Collection Essentials 2-Pack StandardQue White StandardQueen</t>
  </si>
  <si>
    <t>Hotel Collection Turkish 16 x 30 Hand Towel White Hand Towels</t>
  </si>
  <si>
    <t>Martha Stewart Collection Quick Dry Reversible Bath Towe White Bath Towels</t>
  </si>
  <si>
    <t>Nautica True Comfort StandardQueen Pi White Standard</t>
  </si>
  <si>
    <t>Hotel Collection Ultimate MicroCotton 16 x 30 Midnight Hand Towels</t>
  </si>
  <si>
    <t>Hotel Collection Borderline 13 Square Washclot Green Washcloths</t>
  </si>
  <si>
    <t>INDOCOUNT/MMG-CHARTER CLUB</t>
  </si>
  <si>
    <t>ROYAL HERITAGE HOME/ROSELLI TRADING</t>
  </si>
  <si>
    <t>#</t>
  </si>
  <si>
    <t>DARK GREEN</t>
  </si>
  <si>
    <t>INDECOR HOME LLC</t>
  </si>
  <si>
    <t>Martha Stewart Collection Quick Dry Reversible Wash Towe White Washcloths</t>
  </si>
  <si>
    <t>SHOES LEASED</t>
  </si>
  <si>
    <t>FINISH LINE INC LEASED</t>
  </si>
  <si>
    <t>Hotel Collection Burnish Bronze King Duvet, Cre Bronze King</t>
  </si>
  <si>
    <t>SensorGel Cold Touch Gusseted Gel Infuse White Standard</t>
  </si>
  <si>
    <t>Hallmart Collectibles Gissing 12-Pc. Reversible Quee Bluepink Queen</t>
  </si>
  <si>
    <t>VICTORIA/TEXTILES FROM EUROPE</t>
  </si>
  <si>
    <t>CHINA FORTUNE LLC</t>
  </si>
  <si>
    <t>Pem America Modern Stripe 8-Pc. Full Comfo Multi Full</t>
  </si>
  <si>
    <t>Hotel Collection Hydrangea Standard Sham Create White Standard Sham</t>
  </si>
  <si>
    <t>MORGAN HOME FASHIONS</t>
  </si>
  <si>
    <t>COZY HOME FASHION/SANDER SALES ENT</t>
  </si>
  <si>
    <t>Hotel Collection Borderline 30 x 56 Bath Towe Grey Bath Towels</t>
  </si>
  <si>
    <t>Hotel Collection Hotel Collection Finest Elegan White Hand Towels</t>
  </si>
  <si>
    <t>Charter Club Egyptian Cotton 30 x 56 Bath Dove Grey Bath Towels</t>
  </si>
  <si>
    <t>Charter Club Elite Hygro Cotton Bath Towel White Bath Towels</t>
  </si>
  <si>
    <t>MMG-MARTHA STEW/E AND E (JLA HOME)</t>
  </si>
  <si>
    <t>Hotel Collection Moonstone King Duvet, Created Gold King</t>
  </si>
  <si>
    <t>HUDSON PARK COLLECTION-BLM</t>
  </si>
  <si>
    <t>Hotel Collection Moonstone FullQueen Duvet, Cr Gold FullQueen</t>
  </si>
  <si>
    <t>HABIDECOR &amp; ABYSS INC</t>
  </si>
  <si>
    <t>DOWN LITE INTERNATIONAL</t>
  </si>
  <si>
    <t>ALLIED HOME LLC</t>
  </si>
  <si>
    <t>COMFORT REVOLUTION LLC</t>
  </si>
  <si>
    <t>Charter Club Damask Designs Diamond Dot Cot White Twin</t>
  </si>
  <si>
    <t>DE MOOCCI/ORIENT HOME COLLECTION</t>
  </si>
  <si>
    <t>HUDSON PARK</t>
  </si>
  <si>
    <t>Infinity Home 3 PC Decorative Pillows and Th Pink</t>
  </si>
  <si>
    <t>NORTHPOINT TRADING INC</t>
  </si>
  <si>
    <t>Charter Club Damask Designs Diamond Dot 300 White King</t>
  </si>
  <si>
    <t>Kensington Garden Somerset 800 Thread Count Silv Blue Queen</t>
  </si>
  <si>
    <t>Charter Club Damask Thin Stripe Cotton 550- White King</t>
  </si>
  <si>
    <t>Hotel Collection Primaloft 450-Thread Count Sof White Standard</t>
  </si>
  <si>
    <t>Martha Stewart Collection 2-Pc. Noodle Rug Set Grey</t>
  </si>
  <si>
    <t>ESSENTIAL MARTHA/EDI/FAZE THREE</t>
  </si>
  <si>
    <t>SensorGel Sensor Gel Arctic 3-Inch Memor White King</t>
  </si>
  <si>
    <t>SKY TEXTILES-BLM</t>
  </si>
  <si>
    <t>Hotel Collection Primaloft 450-Thread Count Fir White King</t>
  </si>
  <si>
    <t>Martha Stewart Collection Allergy Wise Dobby Stripe Firm White King</t>
  </si>
  <si>
    <t>Hotel Collection Ultimate MicroCotton 13 x 13 White Washcloths</t>
  </si>
  <si>
    <t>THALES 60X70 JACQUARD ET</t>
  </si>
  <si>
    <t>SensorGel Sensor Gel SlumberMax Hybrid 4 White Full</t>
  </si>
  <si>
    <t>TRIBECA LIVING/MARWAH CORPORATION</t>
  </si>
  <si>
    <t>Fairfield Square Collection Brookline 1400-Thread Count 6- Sky Blue King</t>
  </si>
  <si>
    <t>Fairfield Square Collection Austin 6-Pc. Reversible Comfor Red Full</t>
  </si>
  <si>
    <t>Sun Zero Oslo 52 x 84 Theater Grade E Navy 52x84</t>
  </si>
  <si>
    <t>NATCO/WINDHAM WEAVE/WINDHAM TRADING</t>
  </si>
  <si>
    <t>OHANA COMFORTER BASIC</t>
  </si>
  <si>
    <t>Hotel Collection 500 Thread Count Micro Cotton White King Pillowcase</t>
  </si>
  <si>
    <t>Hallmart Collectibles Sadie 14-Pc. King Comforter Se Blush King</t>
  </si>
  <si>
    <t>Charter Club Damask Supima Cotton 550-Threa White King</t>
  </si>
  <si>
    <t>Martha Stewart Collection Martha Stewart Essentials Reve White King</t>
  </si>
  <si>
    <t>Royal Luxe Royal Luxe Microfiber Color Do White Twin</t>
  </si>
  <si>
    <t>Charter Club Damask Supima Cotton 550-Threa Fresh Teal Standard Pillowcase</t>
  </si>
  <si>
    <t>Lacourte Rania 2Pk Grey Decorative Pill Gray Decorative Pillow</t>
  </si>
  <si>
    <t>SEASON CODE</t>
  </si>
  <si>
    <t>LOT #</t>
  </si>
  <si>
    <t>ORIGINAL RETAIL</t>
  </si>
  <si>
    <t>PRIMARILY FALL AND WINTER</t>
  </si>
  <si>
    <t>Elrene Elrene Athena 52 X 108 Windo Gold 52x108</t>
  </si>
  <si>
    <t>Sun Zero Lichtenberg Sun Zero Grant Sol Mineral 54x84</t>
  </si>
  <si>
    <t>Sun Zero Darren Distressed Textured Glo Camel 50x95</t>
  </si>
  <si>
    <t>No. 918 No. 918 Sheer Voile 59 x 95 Eggshell 59x95</t>
  </si>
  <si>
    <t>Sun Zero Patina 52 x 84 Textured Blac Cream 52x84</t>
  </si>
  <si>
    <t>DARKORANGE</t>
  </si>
  <si>
    <t>Sun Zero Allegory Abstract Painting 40 Cedar 40x84</t>
  </si>
  <si>
    <t>Tommy Hilfiger Modern American 30 x 54 Cott White Bath Towels</t>
  </si>
  <si>
    <t>Addison Park Bennett grey Queen 9pc Comfort Grey Queen</t>
  </si>
  <si>
    <t>Martha Stewart Collection Martha Stewart Essentials Reve White TwinTwin XL</t>
  </si>
  <si>
    <t>Martha Stewart Collection Essentials Solid Comforter Ful White FullQueen</t>
  </si>
  <si>
    <t>Sanders Solid Microfiber Queen Sheet S Blush Queen</t>
  </si>
  <si>
    <t>Sanders Solid Microfiber King Sheet Se Wheat King</t>
  </si>
  <si>
    <t>Infinity Home Novelty Print Fleece Throws Gnomes Butterflies 50x60</t>
  </si>
  <si>
    <t>Madison Park Duke 20 Square Faux-Fur Decor Brown 20x20</t>
  </si>
  <si>
    <t>Charter Club Damask Cotton 210-Thread Count White FullQueen</t>
  </si>
  <si>
    <t>Martha Stewart Collection Essentials Quilted Waterproof White Queen</t>
  </si>
  <si>
    <t>Martha Stewart Collection Solid Open Stock 400-Thread Co Pool Blue Queen Fitted</t>
  </si>
  <si>
    <t>Martha Stewart Collection Solid Open Stock 400-Thread Co Cloud White Standard Pillowcase</t>
  </si>
  <si>
    <t>Hotel Collection Primaloft 450-Thread Count Fir White Standard</t>
  </si>
  <si>
    <t>Hotel Collection Hotel Collection Terra Sham, S Grey Standard Sham</t>
  </si>
  <si>
    <t>Hotel Collection CLOSEOUT Hotel Collection Art White FullQueen</t>
  </si>
  <si>
    <t>Charter Club Egyptian Cotton 16 x 30 Hand Cream Beige Hand Towels</t>
  </si>
  <si>
    <t>Hotel Collection Ginkgo FullQueen Duvet Sage FullQueen</t>
  </si>
  <si>
    <t>Hotel Collection Ginkgo King Duvet Sage King</t>
  </si>
  <si>
    <t>Charter Club 500-Thread Count Cotton Sateen White Queen</t>
  </si>
  <si>
    <t>Fairfield Square Collection Aspen T1000 CVC King sheet set White King</t>
  </si>
  <si>
    <t>Fairfield Square Collection Aspen T1000 CVC Queen sheet se Blush Queen</t>
  </si>
  <si>
    <t>VCNY Home High Pile Plush Throw Ivory 50x60</t>
  </si>
  <si>
    <t>Hotel Collection 500 Thread count Mattress Pa White King</t>
  </si>
  <si>
    <t>Charter Club White Down Medium Weight Full White FullQueen</t>
  </si>
  <si>
    <t>Tommy Bahama Home Ultimate Comfort Set of Two St White Queen</t>
  </si>
  <si>
    <t>Pem America Aaron 3-Pc. Reversible Plaid F Multiplaid FullQueen</t>
  </si>
  <si>
    <t>Ella Jayne 2 Pack Cool N Comfort Gel Fib Blue King</t>
  </si>
  <si>
    <t>Spa 251 Waffle Complete Shower Curtain Ivory 70X72</t>
  </si>
  <si>
    <t>OAKE</t>
  </si>
  <si>
    <t>Caro Home Chateau Royale Lasdon hand tow Red Towel Set</t>
  </si>
  <si>
    <t>Sunham Holiday Tartan 8-Pc. Queen Com Red Queen</t>
  </si>
  <si>
    <t>Sunham Jackson 8-Pc. Queen Comforter Black Queen</t>
  </si>
  <si>
    <t>Birch Trail 3pc Decorative Throw and Pillo Red Tartan Plaid 60x50</t>
  </si>
  <si>
    <t>AQ Textiles Sullivan 1400 thread count 4 p Silver King</t>
  </si>
  <si>
    <t>JLA Home Store Only UPC - DNU Ivory 50x60</t>
  </si>
  <si>
    <t>ED Ellen Degeneres ED Ellen Degeneres Textured Ge White King</t>
  </si>
  <si>
    <t>Fireside Solid Sherpa Throw Ivory 50x60</t>
  </si>
  <si>
    <t>Hallmart Collectibles Tanner Reversible 3-Pc. FullQ Navygray FullQueen</t>
  </si>
  <si>
    <t>KIDS&amp;YTH BEDD</t>
  </si>
  <si>
    <t>Sunham Holiday Sentiments 8-Pc. King Red King</t>
  </si>
  <si>
    <t>Pem America Buffalo Plaid and Dogs 3-Pc. F Multi FullQueen</t>
  </si>
  <si>
    <t>CALVIN KLEIN/HOLLANDER SLEEP &amp; DECO</t>
  </si>
  <si>
    <t>INK &amp; IVY/JLA HOME/E &amp; E CO LTD</t>
  </si>
  <si>
    <t>MICRO FLANNEL/SHAVEL ASSOCIATES INC</t>
  </si>
  <si>
    <t>CHARTER CLUB-EDI/RWI/WELSPUN</t>
  </si>
  <si>
    <t>BABY SIGNATURE DBA DAINTY HOME INC</t>
  </si>
  <si>
    <t>THRO/JIMCO LAMP &amp; MANUFACTURING CO</t>
  </si>
  <si>
    <t>ELUXURY LLC</t>
  </si>
  <si>
    <t>MARTHA STEWART-MMG</t>
  </si>
  <si>
    <t>OAKE BEDDING/OAKE</t>
  </si>
  <si>
    <t>CARO HOME LLC</t>
  </si>
  <si>
    <t>KEECO LLC-DOMESTIC</t>
  </si>
  <si>
    <t>MARTHA STEWART-EDI/JLA HOME</t>
  </si>
  <si>
    <t>REVMAN INTERNATIONAL INC</t>
  </si>
  <si>
    <t>ELLEN DEGENERES/REVMAN INTERNATIONL</t>
  </si>
  <si>
    <t>VICTORIA/TEXTILES FROM EUROPE-CONS</t>
  </si>
  <si>
    <t>CHARTER CLUB-EDI/DOWNLITE</t>
  </si>
  <si>
    <t>NOURISON INDUSTRIES INC</t>
  </si>
  <si>
    <t>MIXED / BOTH</t>
  </si>
  <si>
    <t>BRIGHT PUR</t>
  </si>
  <si>
    <t>Calvin Klein Monogram Logo Medium Support C White King</t>
  </si>
  <si>
    <t>SensorPEDIC 2 Pack Fresh Clean Standard White Standard</t>
  </si>
  <si>
    <t>SensorGel Wellness by Supportive Memory White Standard</t>
  </si>
  <si>
    <t>Hotel Collection Dimensional King Comforter Blue King</t>
  </si>
  <si>
    <t>Juicy Couture Lattice 3-Piece King Comforter Whiteblack King</t>
  </si>
  <si>
    <t>Infinity Home 3 PC Decorative Pillows and Th Beige</t>
  </si>
  <si>
    <t>Kindred Home 50 x 60 Honeycomb Knitted Th Mustard Throw</t>
  </si>
  <si>
    <t>HARBOR HOUSE/JLA HOME/E &amp; E CO LTD</t>
  </si>
  <si>
    <t>Charter Club Cozy Plush Throw Slate Throw</t>
  </si>
  <si>
    <t>Ella Jayne Ella Jayne Wearable Weighted S Pink No Size</t>
  </si>
  <si>
    <t>Ella Jayne Ella Jayne Wearable Weighted S Burnt Orange No Size</t>
  </si>
  <si>
    <t>COTTON RINGS INC</t>
  </si>
  <si>
    <t>Hotel Collection Ultimate MicroCotton 30 x 56 White Bath Towels</t>
  </si>
  <si>
    <t>Hotel Collection Cotton 680 Thread Count King F Sand King</t>
  </si>
  <si>
    <t>Charter Club Damask Cotton 210-Thread Count White King</t>
  </si>
  <si>
    <t>Martha Stewart Collection Essentials Quilted Waterproof White Twin</t>
  </si>
  <si>
    <t>Hotel Collection Hotel Collection Layered Frame Jade King</t>
  </si>
  <si>
    <t>Hotel Collection Skyline Quilted Euro Sham, Cre Cloud European Sham</t>
  </si>
  <si>
    <t>Hotel Collection Dobby Diamond FullQueen Cover White FullQueen Coverlet</t>
  </si>
  <si>
    <t>Martha Stewart Collection Wedding Rings 100 Cotton King White King</t>
  </si>
  <si>
    <t>Hotel Collection Chainlinks FullQueen Duvet, C White FullQueen</t>
  </si>
  <si>
    <t>Fairfield Square Collection Austin 6-Pc. Reversible Comfor Blue Queen</t>
  </si>
  <si>
    <t>VCNY Home Nina 3-Pc. Embossed King Quilt Green King</t>
  </si>
  <si>
    <t>Hotel Collection European White Goose Down Soft White King</t>
  </si>
  <si>
    <t>Truly Soft Truly Soft Pleated White Full Blush FullQueen</t>
  </si>
  <si>
    <t>Charisma Luxe Zero Twist Bath Robe White LXL</t>
  </si>
  <si>
    <t>Pem America Jersey 2-Pc. Twin Comforter Se Gray Twin</t>
  </si>
  <si>
    <t>Pem America Franklin Stripe 8-Pc. King Com Blue King</t>
  </si>
  <si>
    <t>Royal Luxe White Goose 240-Thread Count F White FullQueen</t>
  </si>
  <si>
    <t>Berkshire Berkshire Classic Velvety Plus Humus FullQueen</t>
  </si>
  <si>
    <t>Rizzy Home Rizzy Home Geometrical Design Gold</t>
  </si>
  <si>
    <t>LOFTEX HOME LLC</t>
  </si>
  <si>
    <t>BEDVOYAGE</t>
  </si>
  <si>
    <t>AQ Textiles Sullivan 1400 thread count 4 p White King</t>
  </si>
  <si>
    <t>JP ECOMMERCE</t>
  </si>
  <si>
    <t>Charter Club Damask Designs Leaves Silhouet Lves Silhouette FullQueen</t>
  </si>
  <si>
    <t>MARTHA STEWART-EDI/MOHAWK</t>
  </si>
  <si>
    <t>Hallmart Collectibles Chandelier Reversible 12-Pc. K Bluewhite King</t>
  </si>
  <si>
    <t>Sanders 5 Piece Sheet Set With Throw Q Red Gingham Queen</t>
  </si>
  <si>
    <t>AQ Textiles Sullivan 1400 thread count 4 p Pink Queen</t>
  </si>
  <si>
    <t>Oake Chunky Knit Throw, Created for Navy Throw</t>
  </si>
  <si>
    <t>Franco Manufacturing Co 6-Pc. Twin Comforter Set Multi</t>
  </si>
  <si>
    <t>FRANCO MFG CO</t>
  </si>
  <si>
    <t>Charter Club Cozy Plush Throw Carved Blush Throw</t>
  </si>
  <si>
    <t>Mainstream International Inc. Bath and Hand Towel Set Multi Towel Sets</t>
  </si>
  <si>
    <t>Martha Stewart Collection Buffalo Check FullQueen 4-Pie Buffalo Check FullQueen</t>
  </si>
  <si>
    <t>Beautyrest Black Premium Hypoallergenic W White King</t>
  </si>
  <si>
    <t>Ella Jayne Soft Plush Gusseted Soft Gel F White Queen</t>
  </si>
  <si>
    <t>Avanti Initial Script Granite and Sil H</t>
  </si>
  <si>
    <t>Addison Park Bennett grey King 9pc Comforte Grey King</t>
  </si>
  <si>
    <t>SensorGel Wellness Collection by Suppor White Standard</t>
  </si>
  <si>
    <t>Fairfield Square Collection Brookline 1400-Thread Count 6- White King</t>
  </si>
  <si>
    <t>Infinity Home Novelty Print Fleece Throws Words to Live By 50x60</t>
  </si>
  <si>
    <t>Siscovers Siscovers Renaissance Decorati Grn Beige</t>
  </si>
  <si>
    <t>Hallmart Collectibles Raddington 14-Pc. Geometric Fl Greysilver King</t>
  </si>
  <si>
    <t>Ella Jayne Allergy -Free Dust Mite Free M White Full</t>
  </si>
  <si>
    <t>Hotel Collection Borderline 16 x 30 Hand Towe Blue Hand Towels</t>
  </si>
  <si>
    <t>Whim by Martha Stewart Seersucker 3-Pc. FullQueen Co White FullQueen</t>
  </si>
  <si>
    <t>Hotel Collection Cotton 680 Thread Count Extra- White King</t>
  </si>
  <si>
    <t>Hotel Collection Fresco European Sham Gold European Sham</t>
  </si>
  <si>
    <t>Charter Club Damask Supima Cotton 550-Threa Stone Dark Grey Queen</t>
  </si>
  <si>
    <t>Charter Club Damask Supima Cotton 550-Threa White Queen</t>
  </si>
  <si>
    <t>KARIN MAKI/VISI-ONE INC</t>
  </si>
  <si>
    <t>Hotel Collection Hotel Collection Tessellate Qu Lightpastel Gr King Sham</t>
  </si>
  <si>
    <t>Charter Club Continuous Cool Soft King Pill White King</t>
  </si>
  <si>
    <t>Hotel Collection Cloudscape Standard Sham, Crea Blush Standard Sham</t>
  </si>
  <si>
    <t>VCNY Home Casa Real Reversible 5-Pc. Fu Multi FullQueen</t>
  </si>
  <si>
    <t>Hotel Collection Hotel Collection Luxury Down A White FullQueen</t>
  </si>
  <si>
    <t>Miller Curtains Preston 48 x 108 Window Pane White 48x108</t>
  </si>
  <si>
    <t>BESPOLITAN INC</t>
  </si>
  <si>
    <t>Blue Ridge Blue Ridge Reversible Down Alt Navylight Blue FullQueen</t>
  </si>
  <si>
    <t>BGEOVERFLW</t>
  </si>
  <si>
    <t>Chic Home Chic Home Liberty 9-Pc. Full B Navy Full</t>
  </si>
  <si>
    <t>SUPERIOR/HOME CITY INC</t>
  </si>
  <si>
    <t>Mistletoe Farms Plush Flannel Robe - Adult Tartan Plaid SM</t>
  </si>
  <si>
    <t>Drew Jonathan Home Cut Fur Solid Throw Black Throw</t>
  </si>
  <si>
    <t>BRENTWOOD ORIGINALS</t>
  </si>
  <si>
    <t>AQ Textiles Sullivan 1400 thread count 4 p Navy King</t>
  </si>
  <si>
    <t>Martha Stewart Collection Lattice Faux Fur 50 X 60 Thr Ivory Throw</t>
  </si>
  <si>
    <t>Oake Geo Stitch Cotton FullQueen C Terracotta FullQueen</t>
  </si>
  <si>
    <t>VCNY Home Snowflake 5 Piece Bath Set Grey</t>
  </si>
  <si>
    <t>Sunham Holiday Sentiments 8-Pc. Full Red Full</t>
  </si>
  <si>
    <t>Hotel Collection Ornate Scroll Quilted Standard Ruby Standard Sham</t>
  </si>
  <si>
    <t>Charter Club Lace Medallion 3-Pc. King Comf White King</t>
  </si>
  <si>
    <t>Charter Club Buds Branches 3-Pc. FullQue Vintage Claret FullQueen</t>
  </si>
  <si>
    <t>Addison Park Remy 14-Pc. King Comforter Set White King</t>
  </si>
  <si>
    <t>MATTRESS TOPPER</t>
  </si>
  <si>
    <t>Fresh Ideas 6-Pack 100 Cotton Pillow Prot White</t>
  </si>
  <si>
    <t>Avanti Rosefan Wash Towel, 13x13 Ivory</t>
  </si>
  <si>
    <t>Avanti Initial Script Granite and Sil K</t>
  </si>
  <si>
    <t>Avanti Initial Script Granite and Sil S</t>
  </si>
  <si>
    <t>Spode Spode Christmas Tree Tissue Co Tissue Cover</t>
  </si>
  <si>
    <t>Sealy Sealy Allergy Advanced Mattres White Full</t>
  </si>
  <si>
    <t>X FIRM PLW</t>
  </si>
  <si>
    <t>NEW WARM K</t>
  </si>
  <si>
    <t>HOLLANDER SLEEP &amp; DECOR</t>
  </si>
  <si>
    <t>Calvin Klein Monogram Logo Firm Support Cot White Queen</t>
  </si>
  <si>
    <t>Calvin Klein Monogram Logo Extra Firm Suppo White Queen</t>
  </si>
  <si>
    <t>Elrene Window Treatments, Versailles Gray 52x95</t>
  </si>
  <si>
    <t>Elrene Athena Rod Pocket 52 x 84 Pa Gold 52x84</t>
  </si>
  <si>
    <t>Elrene Elrene Mia Jacquard 52 x 84 Gold 52x84</t>
  </si>
  <si>
    <t>Elrene Elrene Antonia 52 x 108 Blac Rouge 52x108</t>
  </si>
  <si>
    <t>LT/PAS RED</t>
  </si>
  <si>
    <t>Elrene Cordelia Adjustable 48-86 Cu Nickel 48-86in</t>
  </si>
  <si>
    <t>No. 918 No. 918 Crushed Sheer Voile 51 Taupe 51x84</t>
  </si>
  <si>
    <t>No. 918 No. 918 Sheer Voile 59 x 84 Charcoal 59x84</t>
  </si>
  <si>
    <t>SZ GRANTGR 54X108 NAV BASIC</t>
  </si>
  <si>
    <t>No. 918 Alison Floral Lace 58 x 72 R Ivory 58x72</t>
  </si>
  <si>
    <t>No. 918 No. 918 Sheer Voile 59 x 108 Eggshell 59x108</t>
  </si>
  <si>
    <t>No. 918 No. 918 Sheer Voile 59 x 95 Yellow 59x95</t>
  </si>
  <si>
    <t>Sun Zero Elidah Textured Velvet Medalli Merlot 50x95</t>
  </si>
  <si>
    <t>Sun Zero Oslo 52 x 63 Theater Grade E Coal 52x63</t>
  </si>
  <si>
    <t>Sun Zero Oslo 52 x 84 Theater Grade E Haze 52x84</t>
  </si>
  <si>
    <t>Sun Zero Oslo 52 x 95 Theater Grade E Stone 52x95</t>
  </si>
  <si>
    <t>Sun Zero Sun Zero Grant 54 x 63 Rod P Vintage Blue 54x63</t>
  </si>
  <si>
    <t>SZ GRANT GR 54X108 MAR BASIC</t>
  </si>
  <si>
    <t>SZ OSLOGR 52X63 GRY BASIC</t>
  </si>
  <si>
    <t>No. 918 Amalfi Linen Blend Textured Sh Denim 54x95</t>
  </si>
  <si>
    <t>SZ OSLOGR 52X95 PRL BASIC</t>
  </si>
  <si>
    <t>Sun Zero Patina 52 x 84 Textured Blac Smoke 52x84</t>
  </si>
  <si>
    <t>Sun Zero Sun Zero Duran 50 x 84 Textu Teal 50x84</t>
  </si>
  <si>
    <t>DURAN 50X108 CURTAIN</t>
  </si>
  <si>
    <t>Sun Zero Sun Zero Cyrus Thermal Blackou White 40x63</t>
  </si>
  <si>
    <t>Sun Zero Sun Zero Cyrus Thermal Blackou Navy 40x84</t>
  </si>
  <si>
    <t>Sun Zero Sun Zero Cyrus Thermal Blackou Teal 40x84</t>
  </si>
  <si>
    <t>Sun Zero Evelina Faux Silk 50 x 95 Th Bordeaux 50x95</t>
  </si>
  <si>
    <t>No. 918 No. 918 51 x 84 Crushed Shee Teal 51x84</t>
  </si>
  <si>
    <t>No. 918 Blair Farmhouse Plaid 52 x 84 Red 52x84</t>
  </si>
  <si>
    <t>Sun Zero Kline Burlap Weave 52 x 84 T Blue 52x84</t>
  </si>
  <si>
    <t>Christopher Knight Christopher Knight Organic Cot White Twin XL</t>
  </si>
  <si>
    <t>DREAMTEX HOME LLC</t>
  </si>
  <si>
    <t>Disney Frozen Olaf Crazy For Summer C Frozen Olaf Beach Towels</t>
  </si>
  <si>
    <t>Nautica True Comfort King Pillow White King</t>
  </si>
  <si>
    <t>Vera Bradley Go Fish Standard Sham Blue Standard Sham</t>
  </si>
  <si>
    <t>Peri Home Chenille Lattice Queen Duvet C White Queen</t>
  </si>
  <si>
    <t>CHENILLE LATTICE BASIC</t>
  </si>
  <si>
    <t>Michael Aram MICHAEL ARAM OCEAN REEF BATH R Seafoam ONE SIZE</t>
  </si>
  <si>
    <t>Peri Home Peri Home Block Print Floral K Grey</t>
  </si>
  <si>
    <t>Tommy Hilfiger Abstract Full Sheet Set White Full</t>
  </si>
  <si>
    <t>Lauren Ralph Lauren Lauren Ralph Lauren Leanne Bac White 50x108</t>
  </si>
  <si>
    <t>Serta Serta Down Illusion Antimicrob White TwinTwin XL</t>
  </si>
  <si>
    <t>Intelligent Design Intelligent Design Novelty 3-P Grey Llamas Twin</t>
  </si>
  <si>
    <t>Hotel Collection Egyptian Cotton King Blanket Mist King</t>
  </si>
  <si>
    <t>JLA Home Paris 72 x 72 Faux-Linen Sho Neutral Multi 72X72</t>
  </si>
  <si>
    <t>Woolrich Tulsa KingCalifornia King 3 P Redgrey KingCalifornia King</t>
  </si>
  <si>
    <t>Madison Park Madison Park Essentials Satin Gold King Pillowcase</t>
  </si>
  <si>
    <t>Madison Park Mindy Cotton 9-Pc. Queen Comfo Whitetan Queen</t>
  </si>
  <si>
    <t>Sleep Philosophy Sleep Philosophy Premium Soft Grey 60x70</t>
  </si>
  <si>
    <t>JLA Home JLA Home Isobelle 72x 72 Sho Multi No Size</t>
  </si>
  <si>
    <t>Natori Gemma 6-Pc. Twin Comforter Set Purple Twin</t>
  </si>
  <si>
    <t>Clean Spaces Living Clean Everyday 7-Pc. So White King</t>
  </si>
  <si>
    <t>Madison Park Edina 50 x 60 Faux-Fur Throw Ivory 50x60</t>
  </si>
  <si>
    <t>Madison Park CLOSEOUT Madison Park 1500 Th White King Pillowcase</t>
  </si>
  <si>
    <t>SunSmart Mirage 50 x 108 Damask Total Champagne 50x108</t>
  </si>
  <si>
    <t>Madison Park Madison Park Linnette 3-Pc Ful Ivory FullQueen</t>
  </si>
  <si>
    <t>Sanders Printed Microfiber King Sheet Elmont Blush King</t>
  </si>
  <si>
    <t>BioPEDIC BioPEDIC Eco Classic 3 Down A White Full</t>
  </si>
  <si>
    <t>SensorGel Sensor Gel Arctic 3-Inch Memor White Queen</t>
  </si>
  <si>
    <t>SensorGel Luxury U-Neck Accessory Memory White No Size</t>
  </si>
  <si>
    <t>4 PACK ULTRA-FRESH HYPOABASIC</t>
  </si>
  <si>
    <t>Lacourte Josette Clipped Jacquard Set o White European</t>
  </si>
  <si>
    <t>Lacourte Velvet Applique 20 Square De White 18x18</t>
  </si>
  <si>
    <t>Lacourte Lucia 2-Pk. 20 Square Decorat Blue 18x18</t>
  </si>
  <si>
    <t>Linum Home Unisex 100 Turkish Cotton Ter Grey LXL</t>
  </si>
  <si>
    <t>Linum Home Womens Terry Bath Wrap Grey</t>
  </si>
  <si>
    <t>Levtex St. Claire Damask Reversible K Grey King</t>
  </si>
  <si>
    <t>Levtex Levtex Home Washed Linen Spa E Aqua 26 x 26</t>
  </si>
  <si>
    <t>Levtex Levtex Home Rhapsody Pieced De Multi</t>
  </si>
  <si>
    <t>Levtex Levtex Home Cross Stitch Brigh White King</t>
  </si>
  <si>
    <t>Levtex Levtex Mills Waffle Euro Sham Blush European Sham</t>
  </si>
  <si>
    <t>Fairfield Square Collection Brookline 1400-Thread Count 6- White Queen</t>
  </si>
  <si>
    <t>AQ Textiles Bergen House Woven Floral Vine White King</t>
  </si>
  <si>
    <t>AQ Textiles T800CVC Cool Comfort Stripe Qu Light Grey Queen</t>
  </si>
  <si>
    <t>BLU ULTCL T700 KG</t>
  </si>
  <si>
    <t>AQ Textiles Camden Sateen 1250-Thread Coun Black King</t>
  </si>
  <si>
    <t>The Cordless Collection Insulating Cordless Roman Shad Navy 40x72</t>
  </si>
  <si>
    <t>CORDLESS COLLECT/ALL STRONG INDUST</t>
  </si>
  <si>
    <t>J Queen New York Luciana Indigo Indigo Window Beige No Size</t>
  </si>
  <si>
    <t>Oscar Oliver Heath 3 Piece Coverlet Set, Fu Gold FullQueen</t>
  </si>
  <si>
    <t>J Queen New York J Queen New York Jordan 33 L Brown No Size</t>
  </si>
  <si>
    <t>Charter Club Elite Hygro Cotton Hand Towel White Hand Towels</t>
  </si>
  <si>
    <t>Charter Club Elite Hygro Cotton Tub Mat Camel</t>
  </si>
  <si>
    <t>HP TURKISH SHEET BASIC</t>
  </si>
  <si>
    <t>Kensington Garden Somerset 800 Thread Count Silv Ivory Queen</t>
  </si>
  <si>
    <t>Kensington Garden Valencia T1000 Egyptian Woven White King</t>
  </si>
  <si>
    <t>EXTRA STUFFED 100 C BASIC</t>
  </si>
  <si>
    <t>Ella Jayne Extra Stuffed 100 Certified R White King</t>
  </si>
  <si>
    <t>Hotel Collection Turkish 30 x 56 Bath Towel English Cream Bath Towels</t>
  </si>
  <si>
    <t>Hotel Collection Hotel Collection Finest Elegan Ivory Bath Sheets</t>
  </si>
  <si>
    <t>Hotel Collection Hotel Collection Finest Elegan Flax Washcloths</t>
  </si>
  <si>
    <t>Hotel Collection Hotel Collection 525 Thread Co Ivory Queen</t>
  </si>
  <si>
    <t>Infinity Home 2pk 18 square Textured Decora Gray No Size</t>
  </si>
  <si>
    <t>Elite Home Prewashed Cotton Percale Duvet White FullQueen</t>
  </si>
  <si>
    <t>Elite Home Elite Home Organic Cotton King Oyster King</t>
  </si>
  <si>
    <t>Elite Home King Microfiber Solid Sheet Se Blush King Pillowcase</t>
  </si>
  <si>
    <t>Elite Home Imperial Cotton Extra Deep Poc Starlight Blue Queen</t>
  </si>
  <si>
    <t>Elite Home Luxury Satin Solid Sheet Sets Red Queen</t>
  </si>
  <si>
    <t>F. Scott Fitzgerald F Scott Fitzgerald Jazz Club S Silver California King</t>
  </si>
  <si>
    <t>Madison Park Madison Park Tuscany 3-Pc Full White FullQueen</t>
  </si>
  <si>
    <t>Madison Park Palisades 7-Pc. Queen Comforte Blue Queen</t>
  </si>
  <si>
    <t>Madison Park Zuri Reversible Oversized 60 Tan 60x70</t>
  </si>
  <si>
    <t>Sleep Philosophy Peyton Reversible 3-Pc. FullQ Aqua FullQueen</t>
  </si>
  <si>
    <t>Madison Park Palmer Microsuede 7-Pc. Queen Red Queen</t>
  </si>
  <si>
    <t>Madison Park Irina 50 x 95 Embroidered Di White 50x95</t>
  </si>
  <si>
    <t>Madison Park Duke 20 Square Faux-Fur Decor Ivory 20x20</t>
  </si>
  <si>
    <t>Madison Park Microlight Plush to Berber Kin Grey King</t>
  </si>
  <si>
    <t>Woolrich Buffalo Check Reversible 3-Pc. Gray FullQueen</t>
  </si>
  <si>
    <t>Hallmart Collectibles Safari 8-Pc. Reversible Animal Brownivory King</t>
  </si>
  <si>
    <t>Hallmart Collectibles Daleena 14-Pc. Damask Jacquard Tanblack Queen</t>
  </si>
  <si>
    <t>Hallmart Collectibles Wenings 12-Pc. Reversible Quee Icybluewhite Queen</t>
  </si>
  <si>
    <t>Hallmart Collectibles Emmy 12-Pc. Reversible King Co Blue King</t>
  </si>
  <si>
    <t>REVERSIBLE BRUSHED M BASIC</t>
  </si>
  <si>
    <t>Ella Jayne Big and Soft Mattress Pad - Fu White Full</t>
  </si>
  <si>
    <t>DUCALE TISUE HLDR</t>
  </si>
  <si>
    <t>VERSAILLES SOAP DISH</t>
  </si>
  <si>
    <t>HTL FNST BTH ICE BLUE BASIC</t>
  </si>
  <si>
    <t>Martha Stewart Collection Quick Dry Reversible Hand Towe White Hand Towels</t>
  </si>
  <si>
    <t>Hotel Collection 680 Thread-Count King Sham White King Sham</t>
  </si>
  <si>
    <t>Hotel Collection 680 Thread-Count Queen Bedskir White Queen Bedskirt</t>
  </si>
  <si>
    <t>680TC QN FT SKY</t>
  </si>
  <si>
    <t>Hotel Collection Cotton 680 Thread Count King F Lagoon King</t>
  </si>
  <si>
    <t>Martha Stewart Collection Spa Bath Towel Meringue Bath Towels</t>
  </si>
  <si>
    <t>Hotel Collection Fresco FullQueen Duvet Cover Gold FullQueen</t>
  </si>
  <si>
    <t>FRESCO QN CVLT</t>
  </si>
  <si>
    <t>Charter Club Damask Supima Cotton 550-Threa Smoke Grey Queen</t>
  </si>
  <si>
    <t>Charter Club Damask Stripe Pima Cotton 550- White FullQueen</t>
  </si>
  <si>
    <t>Charter Club Damask Pima Cotton 550-Thread White Queen</t>
  </si>
  <si>
    <t>Charter Club Damask Stripe Supima Cotton 55 Granite Dark Grey Queen</t>
  </si>
  <si>
    <t>Martha Stewart Collection Cotton Percale 400-Thread Coun Almond Queen</t>
  </si>
  <si>
    <t>Martha Stewart Collection Essentials Quilted Waterproof White Full</t>
  </si>
  <si>
    <t>Martha Stewart Collection Essentials Quilted Waterproof White Twin XL</t>
  </si>
  <si>
    <t>Martha Stewart Collection Essentials Full Waterproof Mat White Full</t>
  </si>
  <si>
    <t>Martha Stewart Collection Essentials King Waterproof Mat White King</t>
  </si>
  <si>
    <t>HP TURKISH HAND BASIC</t>
  </si>
  <si>
    <t>Calvin Klein Modern Cotton Body Queen Fitte White Queen Fitted</t>
  </si>
  <si>
    <t>Calvin Klein Modern Cotton Body Pair of Sta White Standard Pillowcase</t>
  </si>
  <si>
    <t>Calvin Klein Modern Cotton Body FullQueen Gray FullQueen</t>
  </si>
  <si>
    <t>Calvin Klein Modern Cotton Body Pair of Sta Gray Standard Pillowcase</t>
  </si>
  <si>
    <t>Martha Stewart Collection Solid Open Stock 400-Thread Co Cloud White Full Flat</t>
  </si>
  <si>
    <t>Martha Stewart Collection Solid Open Stock 400-Thread Co Pool Blue Queen Flat</t>
  </si>
  <si>
    <t>Martha Stewart Collection Solid Open Stock 400-Thread Co Latte Tan Standard Pillowcase</t>
  </si>
  <si>
    <t>Martha Stewart Collection Solid Open Stock 400-Thread Co Ivory Standard Pillowcase</t>
  </si>
  <si>
    <t>Hotel Collection Interlattice King Duvet Cover Silver King</t>
  </si>
  <si>
    <t>Hudson Park Hudson Park Italian Percale St White</t>
  </si>
  <si>
    <t>HUDSON PARK-EDI/RWI/ITALIAN PERCALE</t>
  </si>
  <si>
    <t>Charter Club Egyptian Cotton 700-Thread Cou White Queen</t>
  </si>
  <si>
    <t>HOTEL PRECLE ROBE XL BASIC</t>
  </si>
  <si>
    <t>Charter Club Damask Cotton 210-Thread Count Sunglow Twin</t>
  </si>
  <si>
    <t>Charter Club Sleep Cool Egyptian Hygro Cott Penguin Grey Queen</t>
  </si>
  <si>
    <t>Martha Stewart Collection Essentials Jersey 3-Pc. Twin X Heathered Light Grey Twin XL</t>
  </si>
  <si>
    <t>Hotel Collection Moire Quilted Standard Sham White Standard Sham</t>
  </si>
  <si>
    <t>Charter Club Cozy Plush Wrap 50 x 70 Thro Leopard Print Throw</t>
  </si>
  <si>
    <t>DARK BROWN</t>
  </si>
  <si>
    <t>Charter Club Cozy Plush Wrap 50 x 70 Thro Garnet Plaid Throw</t>
  </si>
  <si>
    <t>Martha Stewart Collection Chateau Standard Sham Medium Purple Standard Sham</t>
  </si>
  <si>
    <t>Martha Stewart Collection Essentials Solid Microfiber 4- Bright White Full</t>
  </si>
  <si>
    <t>Charter Club Damask Collection Windowpane C Clean Chambray King Pillowcase</t>
  </si>
  <si>
    <t>IP STD PILLOWCASE</t>
  </si>
  <si>
    <t>Charter Club Damask Designs Parchment Diamo Parchment King Pillowcase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</si>
</sst>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$&quot;#,##0.00_);[Red]\(&quot;$&quot;#,##0.00\)"/>
    <numFmt numFmtId="165" formatCode="_(&quot;$&quot;* #,##0.00_);_(&quot;$&quot;* \(#,##0.00\);_(&quot;$&quot;* &quot;-&quot;??_);_(@_)"/>
  </numFmts>
  <fonts count="5" x14ac:knownFonts="1">
    <font>
      <sz val="11"/>
      <color theme="1"/>
      <name val="Calibri"/>
      <family val="2"/>
      <scheme val="minor"/>
    </font>
    <font>
      <b/>
      <sz val="11"/>
      <color indexed="8"/>
      <name val="Calibri"/>
      <family val="2"/>
    </font>
    <font>
      <b/>
      <sz val="9"/>
      <color indexed="8"/>
      <name val="Arial"/>
      <family val="2"/>
    </font>
    <font>
      <sz val="9"/>
      <color indexed="8"/>
      <name val="Arial"/>
      <family val="2"/>
    </font>
    <font>
      <u/>
      <sz val="9"/>
      <color indexed="1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4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1" xfId="0" applyFont="1" applyBorder="1" applyAlignment="1">
      <alignment horizontal="center" vertical="center"/>
    </xf>
    <xf numFmtId="165" fontId="1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65" fontId="0" fillId="0" borderId="1" xfId="0" applyNumberForma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49" fontId="3" fillId="0" borderId="0" xfId="0" applyNumberFormat="1" applyFont="1" applyAlignment="1">
      <alignment wrapText="1"/>
    </xf>
    <xf numFmtId="0" fontId="3" fillId="0" borderId="0" xfId="0" applyFont="1" applyAlignment="1">
      <alignment wrapText="1"/>
    </xf>
    <xf numFmtId="1" fontId="3" fillId="0" borderId="0" xfId="0" applyNumberFormat="1" applyFont="1" applyAlignment="1">
      <alignment horizontal="center" wrapText="1"/>
    </xf>
    <xf numFmtId="0" fontId="4" fillId="0" borderId="0" xfId="0" applyFont="1" applyAlignment="1">
      <alignment wrapText="1"/>
    </xf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3" fillId="0" borderId="0" xfId="0" applyFont="1" applyAlignment="1">
      <alignment horizontal="left" wrapText="1"/>
    </xf>
    <xf numFmtId="1" fontId="3" fillId="0" borderId="0" xfId="0" applyNumberFormat="1" applyFont="1" applyAlignment="1">
      <alignment horizontal="left" wrapText="1"/>
    </xf>
    <xf numFmtId="164" fontId="3" fillId="0" borderId="0" xfId="0" applyNumberFormat="1" applyFont="1" applyAlignment="1">
      <alignment horizontal="left" wrapText="1"/>
    </xf>
    <xf numFmtId="0" fontId="0" fillId="0" borderId="0" xfId="0" applyAlignment="1">
      <alignment horizontal="center"/>
    </xf>
    <xf numFmtId="0" fontId="2" fillId="0" borderId="0" xfId="0" applyFont="1" applyAlignment="1">
      <alignment vertical="center" wrapText="1"/>
    </xf>
    <xf numFmtId="0" fontId="0" fillId="0" borderId="0" xfId="0" applyAlignment="1"/>
    <xf numFmtId="0" fontId="3" fillId="0" borderId="0" xfId="0" applyFont="1" applyAlignment="1">
      <alignment horizontal="center" wrapText="1"/>
    </xf>
    <xf numFmtId="0" fontId="2" fillId="2" borderId="0" xfId="0" applyFont="1" applyFill="1" applyAlignment="1">
      <alignment horizontal="center" vertical="center" wrapText="1"/>
    </xf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E10"/>
  <sheetViews>
    <sheetView tabSelected="1" workbookViewId="0">
      <selection activeCell="D27" sqref="D27"/>
    </sheetView>
  </sheetViews>
  <sheetFormatPr defaultRowHeight="15" x14ac:dyDescent="0.25"/>
  <cols>
    <col min="3" max="3" width="10.7109375" bestFit="1" customWidth="1"/>
    <col min="5" max="5" width="12.85546875" customWidth="1"/>
  </cols>
  <sheetData>
    <row r="3" spans="2:5" x14ac:dyDescent="0.25">
      <c r="B3" s="10" t="s">
        <v>1235</v>
      </c>
      <c r="C3" s="11" t="s">
        <v>1146</v>
      </c>
      <c r="D3" s="1" t="s">
        <v>928</v>
      </c>
      <c r="E3" s="2" t="s">
        <v>929</v>
      </c>
    </row>
    <row r="4" spans="2:5" x14ac:dyDescent="0.25">
      <c r="B4" s="10"/>
      <c r="C4" s="10"/>
      <c r="D4" s="3"/>
      <c r="E4" s="4"/>
    </row>
    <row r="5" spans="2:5" x14ac:dyDescent="0.25">
      <c r="B5" s="10">
        <v>13571386</v>
      </c>
      <c r="C5" s="10">
        <v>10</v>
      </c>
      <c r="D5" s="3">
        <v>698</v>
      </c>
      <c r="E5" s="4">
        <v>47854.1</v>
      </c>
    </row>
    <row r="6" spans="2:5" x14ac:dyDescent="0.25">
      <c r="B6" s="10">
        <v>13776842</v>
      </c>
      <c r="C6" s="10">
        <v>10</v>
      </c>
      <c r="D6" s="3">
        <v>577</v>
      </c>
      <c r="E6" s="4">
        <v>44447.63</v>
      </c>
    </row>
    <row r="7" spans="2:5" x14ac:dyDescent="0.25">
      <c r="B7" s="10">
        <v>13770172</v>
      </c>
      <c r="C7" s="10">
        <v>10</v>
      </c>
      <c r="D7" s="3">
        <v>711</v>
      </c>
      <c r="E7" s="4">
        <v>46435.73</v>
      </c>
    </row>
    <row r="8" spans="2:5" x14ac:dyDescent="0.25">
      <c r="B8" s="10"/>
      <c r="C8" s="10"/>
      <c r="D8" s="3"/>
      <c r="E8" s="4"/>
    </row>
    <row r="9" spans="2:5" x14ac:dyDescent="0.25">
      <c r="B9" s="10"/>
      <c r="C9" s="10"/>
      <c r="D9" s="3"/>
      <c r="E9" s="4"/>
    </row>
    <row r="10" spans="2:5" x14ac:dyDescent="0.25">
      <c r="B10" s="10"/>
      <c r="C10" s="11">
        <f>SUM(C4:C9)</f>
        <v>30</v>
      </c>
      <c r="D10" s="1">
        <f>SUM(D4:D9)</f>
        <v>1986</v>
      </c>
      <c r="E10" s="2">
        <f>SUM(E4:E9)</f>
        <v>138737.46</v>
      </c>
    </row>
  </sheetData>
  <phoneticPr fontId="0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99"/>
  <sheetViews>
    <sheetView workbookViewId="0">
      <selection activeCell="J488" sqref="J488"/>
    </sheetView>
  </sheetViews>
  <sheetFormatPr defaultRowHeight="20.100000000000001" customHeight="1" x14ac:dyDescent="0.25"/>
  <cols>
    <col min="1" max="1" width="12.85546875" style="17" bestFit="1" customWidth="1"/>
    <col min="2" max="2" width="10.5703125" style="17" customWidth="1"/>
    <col min="3" max="3" width="16.28515625" style="15" customWidth="1"/>
    <col min="4" max="4" width="75.85546875" style="17" bestFit="1" customWidth="1"/>
    <col min="5" max="5" width="12.42578125" style="17" bestFit="1" customWidth="1"/>
    <col min="6" max="6" width="15" style="17" bestFit="1" customWidth="1"/>
    <col min="7" max="7" width="20.7109375" style="15" customWidth="1"/>
    <col min="8" max="8" width="13.140625" style="17" bestFit="1" customWidth="1"/>
    <col min="9" max="9" width="17.5703125" style="17" bestFit="1" customWidth="1"/>
    <col min="10" max="10" width="39.28515625" style="17" bestFit="1" customWidth="1"/>
    <col min="11" max="11" width="48.140625" style="17" bestFit="1" customWidth="1"/>
    <col min="12" max="12" width="64.28515625" style="17" customWidth="1"/>
    <col min="13" max="16384" width="9.140625" style="17"/>
  </cols>
  <sheetData>
    <row r="1" spans="1:12" ht="20.100000000000001" customHeight="1" x14ac:dyDescent="0.25">
      <c r="A1" s="19" t="s">
        <v>1293</v>
      </c>
      <c r="B1" s="19" t="s">
        <v>1294</v>
      </c>
      <c r="C1" s="19" t="s">
        <v>930</v>
      </c>
      <c r="D1" s="19" t="s">
        <v>931</v>
      </c>
      <c r="E1" s="19" t="s">
        <v>932</v>
      </c>
      <c r="F1" s="19" t="s">
        <v>1295</v>
      </c>
      <c r="G1" s="19" t="s">
        <v>933</v>
      </c>
      <c r="H1" s="19" t="s">
        <v>934</v>
      </c>
      <c r="I1" s="19" t="s">
        <v>935</v>
      </c>
      <c r="J1" s="19" t="s">
        <v>936</v>
      </c>
      <c r="K1" s="19" t="s">
        <v>937</v>
      </c>
      <c r="L1" s="16"/>
    </row>
    <row r="2" spans="1:12" ht="20.100000000000001" customHeight="1" x14ac:dyDescent="0.25">
      <c r="A2" s="12" t="s">
        <v>1362</v>
      </c>
      <c r="B2" s="13">
        <v>13571386</v>
      </c>
      <c r="C2" s="8">
        <v>10482016338</v>
      </c>
      <c r="D2" s="6" t="s">
        <v>1451</v>
      </c>
      <c r="E2" s="18">
        <v>1</v>
      </c>
      <c r="F2" s="14">
        <v>49.99</v>
      </c>
      <c r="G2" s="14">
        <v>49.99</v>
      </c>
      <c r="H2" s="7" t="s">
        <v>941</v>
      </c>
      <c r="I2" s="7" t="s">
        <v>942</v>
      </c>
      <c r="J2" s="7" t="s">
        <v>1057</v>
      </c>
      <c r="K2" s="7" t="str">
        <f>HYPERLINK("http://slimages.macys.com/is/image/MCY/15719968 ")</f>
        <v xml:space="preserve">http://slimages.macys.com/is/image/MCY/15719968 </v>
      </c>
      <c r="L2" s="9"/>
    </row>
    <row r="3" spans="1:12" ht="20.100000000000001" customHeight="1" x14ac:dyDescent="0.25">
      <c r="A3" s="12" t="s">
        <v>1362</v>
      </c>
      <c r="B3" s="13">
        <v>13571386</v>
      </c>
      <c r="C3" s="8">
        <v>21864200214</v>
      </c>
      <c r="D3" s="6" t="s">
        <v>1452</v>
      </c>
      <c r="E3" s="18">
        <v>1</v>
      </c>
      <c r="F3" s="14">
        <v>9.99</v>
      </c>
      <c r="G3" s="14">
        <v>9.99</v>
      </c>
      <c r="H3" s="7" t="s">
        <v>952</v>
      </c>
      <c r="I3" s="7" t="s">
        <v>958</v>
      </c>
      <c r="J3" s="7" t="s">
        <v>1196</v>
      </c>
      <c r="K3" s="7" t="str">
        <f>HYPERLINK("http://slimages.macys.com/is/image/MCY/1426090 ")</f>
        <v xml:space="preserve">http://slimages.macys.com/is/image/MCY/1426090 </v>
      </c>
      <c r="L3" s="9"/>
    </row>
    <row r="4" spans="1:12" ht="20.100000000000001" customHeight="1" x14ac:dyDescent="0.25">
      <c r="A4" s="12" t="s">
        <v>1362</v>
      </c>
      <c r="B4" s="13">
        <v>13571386</v>
      </c>
      <c r="C4" s="8">
        <v>21864285648</v>
      </c>
      <c r="D4" s="6" t="s">
        <v>1453</v>
      </c>
      <c r="E4" s="18">
        <v>1</v>
      </c>
      <c r="F4" s="14">
        <v>9.99</v>
      </c>
      <c r="G4" s="14">
        <v>9.99</v>
      </c>
      <c r="H4" s="7" t="s">
        <v>965</v>
      </c>
      <c r="I4" s="7" t="s">
        <v>1033</v>
      </c>
      <c r="J4" s="7" t="s">
        <v>1196</v>
      </c>
      <c r="K4" s="7" t="str">
        <f>HYPERLINK("http://slimages.macys.com/is/image/MCY/1119570 ")</f>
        <v xml:space="preserve">http://slimages.macys.com/is/image/MCY/1119570 </v>
      </c>
      <c r="L4" s="9"/>
    </row>
    <row r="5" spans="1:12" ht="20.100000000000001" customHeight="1" x14ac:dyDescent="0.25">
      <c r="A5" s="12" t="s">
        <v>1362</v>
      </c>
      <c r="B5" s="13">
        <v>13571386</v>
      </c>
      <c r="C5" s="8">
        <v>21864285723</v>
      </c>
      <c r="D5" s="6" t="s">
        <v>1454</v>
      </c>
      <c r="E5" s="18">
        <v>1</v>
      </c>
      <c r="F5" s="14">
        <v>9.99</v>
      </c>
      <c r="G5" s="14">
        <v>9.99</v>
      </c>
      <c r="H5" s="7" t="s">
        <v>965</v>
      </c>
      <c r="I5" s="7" t="s">
        <v>1033</v>
      </c>
      <c r="J5" s="7" t="s">
        <v>1196</v>
      </c>
      <c r="K5" s="7" t="str">
        <f>HYPERLINK("http://slimages.macys.com/is/image/MCY/1119570 ")</f>
        <v xml:space="preserve">http://slimages.macys.com/is/image/MCY/1119570 </v>
      </c>
      <c r="L5" s="9"/>
    </row>
    <row r="6" spans="1:12" ht="20.100000000000001" customHeight="1" x14ac:dyDescent="0.25">
      <c r="A6" s="12" t="s">
        <v>1362</v>
      </c>
      <c r="B6" s="13">
        <v>13571386</v>
      </c>
      <c r="C6" s="8">
        <v>21864366446</v>
      </c>
      <c r="D6" s="6" t="s">
        <v>1455</v>
      </c>
      <c r="E6" s="18">
        <v>1</v>
      </c>
      <c r="F6" s="14">
        <v>34.99</v>
      </c>
      <c r="G6" s="14">
        <v>34.99</v>
      </c>
      <c r="H6" s="7" t="s">
        <v>984</v>
      </c>
      <c r="I6" s="7" t="s">
        <v>958</v>
      </c>
      <c r="J6" s="7" t="s">
        <v>1196</v>
      </c>
      <c r="K6" s="7" t="str">
        <f>HYPERLINK("http://slimages.macys.com/is/image/MCY/8935515 ")</f>
        <v xml:space="preserve">http://slimages.macys.com/is/image/MCY/8935515 </v>
      </c>
      <c r="L6" s="9"/>
    </row>
    <row r="7" spans="1:12" ht="20.100000000000001" customHeight="1" x14ac:dyDescent="0.25">
      <c r="A7" s="12" t="s">
        <v>1362</v>
      </c>
      <c r="B7" s="13">
        <v>13571386</v>
      </c>
      <c r="C7" s="8">
        <v>22415086127</v>
      </c>
      <c r="D7" s="6" t="s">
        <v>1456</v>
      </c>
      <c r="E7" s="18">
        <v>1</v>
      </c>
      <c r="F7" s="14">
        <v>48.99</v>
      </c>
      <c r="G7" s="14">
        <v>48.99</v>
      </c>
      <c r="H7" s="7" t="s">
        <v>941</v>
      </c>
      <c r="I7" s="7" t="s">
        <v>942</v>
      </c>
      <c r="J7" s="7" t="s">
        <v>1039</v>
      </c>
      <c r="K7" s="7" t="str">
        <f>HYPERLINK("http://slimages.macys.com/is/image/MCY/17673709 ")</f>
        <v xml:space="preserve">http://slimages.macys.com/is/image/MCY/17673709 </v>
      </c>
      <c r="L7" s="9"/>
    </row>
    <row r="8" spans="1:12" ht="20.100000000000001" customHeight="1" x14ac:dyDescent="0.25">
      <c r="A8" s="12" t="s">
        <v>1362</v>
      </c>
      <c r="B8" s="13">
        <v>13571386</v>
      </c>
      <c r="C8" s="8">
        <v>22415657129</v>
      </c>
      <c r="D8" s="6" t="s">
        <v>1457</v>
      </c>
      <c r="E8" s="18">
        <v>1</v>
      </c>
      <c r="F8" s="14">
        <v>26.99</v>
      </c>
      <c r="G8" s="14">
        <v>26.99</v>
      </c>
      <c r="H8" s="7" t="s">
        <v>941</v>
      </c>
      <c r="I8" s="7" t="s">
        <v>942</v>
      </c>
      <c r="J8" s="7" t="s">
        <v>1039</v>
      </c>
      <c r="K8" s="7" t="str">
        <f>HYPERLINK("http://slimages.macys.com/is/image/MCY/14371054 ")</f>
        <v xml:space="preserve">http://slimages.macys.com/is/image/MCY/14371054 </v>
      </c>
      <c r="L8" s="9"/>
    </row>
    <row r="9" spans="1:12" ht="20.100000000000001" customHeight="1" x14ac:dyDescent="0.25">
      <c r="A9" s="12" t="s">
        <v>1362</v>
      </c>
      <c r="B9" s="13">
        <v>13571386</v>
      </c>
      <c r="C9" s="8">
        <v>25521184671</v>
      </c>
      <c r="D9" s="6" t="s">
        <v>1214</v>
      </c>
      <c r="E9" s="18">
        <v>2</v>
      </c>
      <c r="F9" s="14">
        <v>19.989999999999998</v>
      </c>
      <c r="G9" s="14">
        <v>39.979999999999997</v>
      </c>
      <c r="H9" s="7" t="s">
        <v>994</v>
      </c>
      <c r="I9" s="7" t="s">
        <v>1058</v>
      </c>
      <c r="J9" s="7" t="s">
        <v>1059</v>
      </c>
      <c r="K9" s="7" t="str">
        <f>HYPERLINK("http://slimages.macys.com/is/image/MCY/8575742 ")</f>
        <v xml:space="preserve">http://slimages.macys.com/is/image/MCY/8575742 </v>
      </c>
      <c r="L9" s="9"/>
    </row>
    <row r="10" spans="1:12" ht="20.100000000000001" customHeight="1" x14ac:dyDescent="0.25">
      <c r="A10" s="12" t="s">
        <v>1362</v>
      </c>
      <c r="B10" s="13">
        <v>13571386</v>
      </c>
      <c r="C10" s="8">
        <v>25695990689</v>
      </c>
      <c r="D10" s="6" t="s">
        <v>1458</v>
      </c>
      <c r="E10" s="18">
        <v>1</v>
      </c>
      <c r="F10" s="14">
        <v>575</v>
      </c>
      <c r="G10" s="14">
        <v>575</v>
      </c>
      <c r="H10" s="7" t="s">
        <v>941</v>
      </c>
      <c r="I10" s="7" t="s">
        <v>1011</v>
      </c>
      <c r="J10" s="7" t="s">
        <v>1459</v>
      </c>
      <c r="K10" s="7" t="str">
        <f>HYPERLINK("http://images.bloomingdales.com/is/image/BLM/10487411 ")</f>
        <v xml:space="preserve">http://images.bloomingdales.com/is/image/BLM/10487411 </v>
      </c>
      <c r="L10" s="9"/>
    </row>
    <row r="11" spans="1:12" ht="20.100000000000001" customHeight="1" x14ac:dyDescent="0.25">
      <c r="A11" s="12" t="s">
        <v>1362</v>
      </c>
      <c r="B11" s="13">
        <v>13571386</v>
      </c>
      <c r="C11" s="8">
        <v>25695992904</v>
      </c>
      <c r="D11" s="6" t="s">
        <v>1460</v>
      </c>
      <c r="E11" s="18">
        <v>1</v>
      </c>
      <c r="F11" s="14">
        <v>15.99</v>
      </c>
      <c r="G11" s="14">
        <v>15.99</v>
      </c>
      <c r="H11" s="7" t="s">
        <v>941</v>
      </c>
      <c r="I11" s="7" t="s">
        <v>942</v>
      </c>
      <c r="J11" s="7" t="s">
        <v>1345</v>
      </c>
      <c r="K11" s="7" t="str">
        <f>HYPERLINK("http://slimages.macys.com/is/image/MCY/16541162 ")</f>
        <v xml:space="preserve">http://slimages.macys.com/is/image/MCY/16541162 </v>
      </c>
      <c r="L11" s="9"/>
    </row>
    <row r="12" spans="1:12" ht="20.100000000000001" customHeight="1" x14ac:dyDescent="0.25">
      <c r="A12" s="12" t="s">
        <v>1362</v>
      </c>
      <c r="B12" s="13">
        <v>13571386</v>
      </c>
      <c r="C12" s="8">
        <v>25695992911</v>
      </c>
      <c r="D12" s="6" t="s">
        <v>1461</v>
      </c>
      <c r="E12" s="18">
        <v>2</v>
      </c>
      <c r="F12" s="14">
        <v>15.99</v>
      </c>
      <c r="G12" s="14">
        <v>31.98</v>
      </c>
      <c r="H12" s="7" t="s">
        <v>941</v>
      </c>
      <c r="I12" s="7" t="s">
        <v>942</v>
      </c>
      <c r="J12" s="7" t="s">
        <v>1345</v>
      </c>
      <c r="K12" s="7" t="str">
        <f>HYPERLINK("http://slimages.macys.com/is/image/MCY/16541166 ")</f>
        <v xml:space="preserve">http://slimages.macys.com/is/image/MCY/16541166 </v>
      </c>
      <c r="L12" s="9"/>
    </row>
    <row r="13" spans="1:12" ht="20.100000000000001" customHeight="1" x14ac:dyDescent="0.25">
      <c r="A13" s="12" t="s">
        <v>1362</v>
      </c>
      <c r="B13" s="13">
        <v>13571386</v>
      </c>
      <c r="C13" s="8">
        <v>25695992928</v>
      </c>
      <c r="D13" s="6" t="s">
        <v>1364</v>
      </c>
      <c r="E13" s="18">
        <v>1</v>
      </c>
      <c r="F13" s="14">
        <v>22.99</v>
      </c>
      <c r="G13" s="14">
        <v>22.99</v>
      </c>
      <c r="H13" s="7" t="s">
        <v>941</v>
      </c>
      <c r="I13" s="7" t="s">
        <v>942</v>
      </c>
      <c r="J13" s="7" t="s">
        <v>1345</v>
      </c>
      <c r="K13" s="7" t="str">
        <f>HYPERLINK("http://slimages.macys.com/is/image/MCY/16541170 ")</f>
        <v xml:space="preserve">http://slimages.macys.com/is/image/MCY/16541170 </v>
      </c>
      <c r="L13" s="9"/>
    </row>
    <row r="14" spans="1:12" ht="20.100000000000001" customHeight="1" x14ac:dyDescent="0.25">
      <c r="A14" s="12" t="s">
        <v>1362</v>
      </c>
      <c r="B14" s="13">
        <v>13571386</v>
      </c>
      <c r="C14" s="8">
        <v>26865722123</v>
      </c>
      <c r="D14" s="6" t="s">
        <v>1462</v>
      </c>
      <c r="E14" s="18">
        <v>3</v>
      </c>
      <c r="F14" s="14">
        <v>32.99</v>
      </c>
      <c r="G14" s="14">
        <v>98.97</v>
      </c>
      <c r="H14" s="7" t="s">
        <v>944</v>
      </c>
      <c r="I14" s="7" t="s">
        <v>947</v>
      </c>
      <c r="J14" s="7" t="s">
        <v>977</v>
      </c>
      <c r="K14" s="7" t="str">
        <f>HYPERLINK("http://slimages.macys.com/is/image/MCY/9170114 ")</f>
        <v xml:space="preserve">http://slimages.macys.com/is/image/MCY/9170114 </v>
      </c>
      <c r="L14" s="9"/>
    </row>
    <row r="15" spans="1:12" ht="20.100000000000001" customHeight="1" x14ac:dyDescent="0.25">
      <c r="A15" s="12" t="s">
        <v>1362</v>
      </c>
      <c r="B15" s="13">
        <v>13571386</v>
      </c>
      <c r="C15" s="8">
        <v>26865868432</v>
      </c>
      <c r="D15" s="6" t="s">
        <v>1463</v>
      </c>
      <c r="E15" s="18">
        <v>1</v>
      </c>
      <c r="F15" s="14">
        <v>36.99</v>
      </c>
      <c r="G15" s="14">
        <v>36.99</v>
      </c>
      <c r="H15" s="7" t="s">
        <v>1036</v>
      </c>
      <c r="I15" s="7" t="s">
        <v>947</v>
      </c>
      <c r="J15" s="7" t="s">
        <v>977</v>
      </c>
      <c r="K15" s="7" t="str">
        <f>HYPERLINK("http://slimages.macys.com/is/image/MCY/9175647 ")</f>
        <v xml:space="preserve">http://slimages.macys.com/is/image/MCY/9175647 </v>
      </c>
      <c r="L15" s="9"/>
    </row>
    <row r="16" spans="1:12" ht="20.100000000000001" customHeight="1" x14ac:dyDescent="0.25">
      <c r="A16" s="12" t="s">
        <v>1362</v>
      </c>
      <c r="B16" s="13">
        <v>13571386</v>
      </c>
      <c r="C16" s="8">
        <v>26865901481</v>
      </c>
      <c r="D16" s="6" t="s">
        <v>1464</v>
      </c>
      <c r="E16" s="18">
        <v>1</v>
      </c>
      <c r="F16" s="14">
        <v>31.99</v>
      </c>
      <c r="G16" s="14">
        <v>31.99</v>
      </c>
      <c r="H16" s="7" t="s">
        <v>1036</v>
      </c>
      <c r="I16" s="7" t="s">
        <v>947</v>
      </c>
      <c r="J16" s="7" t="s">
        <v>977</v>
      </c>
      <c r="K16" s="7" t="str">
        <f>HYPERLINK("http://slimages.macys.com/is/image/MCY/3881730 ")</f>
        <v xml:space="preserve">http://slimages.macys.com/is/image/MCY/3881730 </v>
      </c>
      <c r="L16" s="9"/>
    </row>
    <row r="17" spans="1:12" ht="20.100000000000001" customHeight="1" x14ac:dyDescent="0.25">
      <c r="A17" s="12" t="s">
        <v>1362</v>
      </c>
      <c r="B17" s="13">
        <v>13571386</v>
      </c>
      <c r="C17" s="8">
        <v>26865919578</v>
      </c>
      <c r="D17" s="6" t="s">
        <v>1465</v>
      </c>
      <c r="E17" s="18">
        <v>1</v>
      </c>
      <c r="F17" s="14">
        <v>55.99</v>
      </c>
      <c r="G17" s="14">
        <v>55.99</v>
      </c>
      <c r="H17" s="7" t="s">
        <v>1466</v>
      </c>
      <c r="I17" s="7" t="s">
        <v>947</v>
      </c>
      <c r="J17" s="7" t="s">
        <v>977</v>
      </c>
      <c r="K17" s="7" t="str">
        <f>HYPERLINK("http://slimages.macys.com/is/image/MCY/9168184 ")</f>
        <v xml:space="preserve">http://slimages.macys.com/is/image/MCY/9168184 </v>
      </c>
      <c r="L17" s="9"/>
    </row>
    <row r="18" spans="1:12" ht="20.100000000000001" customHeight="1" x14ac:dyDescent="0.25">
      <c r="A18" s="12" t="s">
        <v>1362</v>
      </c>
      <c r="B18" s="13">
        <v>13571386</v>
      </c>
      <c r="C18" s="8">
        <v>26865995381</v>
      </c>
      <c r="D18" s="6" t="s">
        <v>1467</v>
      </c>
      <c r="E18" s="18">
        <v>1</v>
      </c>
      <c r="F18" s="14">
        <v>42.99</v>
      </c>
      <c r="G18" s="14">
        <v>42.99</v>
      </c>
      <c r="H18" s="7" t="s">
        <v>941</v>
      </c>
      <c r="I18" s="7" t="s">
        <v>947</v>
      </c>
      <c r="J18" s="7" t="s">
        <v>977</v>
      </c>
      <c r="K18" s="7" t="str">
        <f>HYPERLINK("http://slimages.macys.com/is/image/MCY/11501454 ")</f>
        <v xml:space="preserve">http://slimages.macys.com/is/image/MCY/11501454 </v>
      </c>
      <c r="L18" s="9"/>
    </row>
    <row r="19" spans="1:12" ht="20.100000000000001" customHeight="1" x14ac:dyDescent="0.25">
      <c r="A19" s="12" t="s">
        <v>1362</v>
      </c>
      <c r="B19" s="13">
        <v>13571386</v>
      </c>
      <c r="C19" s="8">
        <v>29927201017</v>
      </c>
      <c r="D19" s="6" t="s">
        <v>1468</v>
      </c>
      <c r="E19" s="18">
        <v>1</v>
      </c>
      <c r="F19" s="14">
        <v>9.99</v>
      </c>
      <c r="G19" s="14">
        <v>9.99</v>
      </c>
      <c r="H19" s="7" t="s">
        <v>1044</v>
      </c>
      <c r="I19" s="7" t="s">
        <v>947</v>
      </c>
      <c r="J19" s="7" t="s">
        <v>982</v>
      </c>
      <c r="K19" s="7" t="str">
        <f>HYPERLINK("http://slimages.macys.com/is/image/MCY/16270470 ")</f>
        <v xml:space="preserve">http://slimages.macys.com/is/image/MCY/16270470 </v>
      </c>
      <c r="L19" s="9"/>
    </row>
    <row r="20" spans="1:12" ht="20.100000000000001" customHeight="1" x14ac:dyDescent="0.25">
      <c r="A20" s="12" t="s">
        <v>1362</v>
      </c>
      <c r="B20" s="13">
        <v>13571386</v>
      </c>
      <c r="C20" s="8">
        <v>29927366266</v>
      </c>
      <c r="D20" s="6" t="s">
        <v>1469</v>
      </c>
      <c r="E20" s="18">
        <v>1</v>
      </c>
      <c r="F20" s="14">
        <v>9.99</v>
      </c>
      <c r="G20" s="14">
        <v>9.99</v>
      </c>
      <c r="H20" s="7" t="s">
        <v>1095</v>
      </c>
      <c r="I20" s="7" t="s">
        <v>947</v>
      </c>
      <c r="J20" s="7" t="s">
        <v>982</v>
      </c>
      <c r="K20" s="7" t="str">
        <f>HYPERLINK("http://slimages.macys.com/is/image/MCY/16270371 ")</f>
        <v xml:space="preserve">http://slimages.macys.com/is/image/MCY/16270371 </v>
      </c>
      <c r="L20" s="9"/>
    </row>
    <row r="21" spans="1:12" ht="20.100000000000001" customHeight="1" x14ac:dyDescent="0.25">
      <c r="A21" s="12" t="s">
        <v>1362</v>
      </c>
      <c r="B21" s="13">
        <v>13571386</v>
      </c>
      <c r="C21" s="8">
        <v>29927487718</v>
      </c>
      <c r="D21" s="6" t="s">
        <v>1470</v>
      </c>
      <c r="E21" s="18">
        <v>2</v>
      </c>
      <c r="F21" s="14">
        <v>23.99</v>
      </c>
      <c r="G21" s="14">
        <v>47.98</v>
      </c>
      <c r="H21" s="7" t="s">
        <v>950</v>
      </c>
      <c r="I21" s="7" t="s">
        <v>947</v>
      </c>
      <c r="J21" s="7" t="s">
        <v>982</v>
      </c>
      <c r="K21" s="7" t="str">
        <f>HYPERLINK("http://slimages.macys.com/is/image/MCY/8498656 ")</f>
        <v xml:space="preserve">http://slimages.macys.com/is/image/MCY/8498656 </v>
      </c>
      <c r="L21" s="9"/>
    </row>
    <row r="22" spans="1:12" ht="20.100000000000001" customHeight="1" x14ac:dyDescent="0.25">
      <c r="A22" s="12" t="s">
        <v>1362</v>
      </c>
      <c r="B22" s="13">
        <v>13571386</v>
      </c>
      <c r="C22" s="8">
        <v>29927489415</v>
      </c>
      <c r="D22" s="6" t="s">
        <v>1471</v>
      </c>
      <c r="E22" s="18">
        <v>1</v>
      </c>
      <c r="F22" s="14">
        <v>11.99</v>
      </c>
      <c r="G22" s="14">
        <v>11.99</v>
      </c>
      <c r="H22" s="7" t="s">
        <v>981</v>
      </c>
      <c r="I22" s="7" t="s">
        <v>947</v>
      </c>
      <c r="J22" s="7" t="s">
        <v>982</v>
      </c>
      <c r="K22" s="7" t="str">
        <f>HYPERLINK("http://slimages.macys.com/is/image/MCY/9056506 ")</f>
        <v xml:space="preserve">http://slimages.macys.com/is/image/MCY/9056506 </v>
      </c>
      <c r="L22" s="9"/>
    </row>
    <row r="23" spans="1:12" ht="20.100000000000001" customHeight="1" x14ac:dyDescent="0.25">
      <c r="A23" s="12" t="s">
        <v>1362</v>
      </c>
      <c r="B23" s="13">
        <v>13571386</v>
      </c>
      <c r="C23" s="8">
        <v>29927493269</v>
      </c>
      <c r="D23" s="6" t="s">
        <v>1472</v>
      </c>
      <c r="E23" s="18">
        <v>1</v>
      </c>
      <c r="F23" s="14">
        <v>13.99</v>
      </c>
      <c r="G23" s="14">
        <v>13.99</v>
      </c>
      <c r="H23" s="7" t="s">
        <v>941</v>
      </c>
      <c r="I23" s="7" t="s">
        <v>947</v>
      </c>
      <c r="J23" s="7" t="s">
        <v>982</v>
      </c>
      <c r="K23" s="7" t="str">
        <f>HYPERLINK("http://slimages.macys.com/is/image/MCY/8500127 ")</f>
        <v xml:space="preserve">http://slimages.macys.com/is/image/MCY/8500127 </v>
      </c>
      <c r="L23" s="9"/>
    </row>
    <row r="24" spans="1:12" ht="20.100000000000001" customHeight="1" x14ac:dyDescent="0.25">
      <c r="A24" s="12" t="s">
        <v>1362</v>
      </c>
      <c r="B24" s="13">
        <v>13571386</v>
      </c>
      <c r="C24" s="8">
        <v>29927494815</v>
      </c>
      <c r="D24" s="6" t="s">
        <v>1473</v>
      </c>
      <c r="E24" s="18">
        <v>1</v>
      </c>
      <c r="F24" s="14">
        <v>11.99</v>
      </c>
      <c r="G24" s="14">
        <v>11.99</v>
      </c>
      <c r="H24" s="7" t="s">
        <v>1052</v>
      </c>
      <c r="I24" s="7" t="s">
        <v>947</v>
      </c>
      <c r="J24" s="7" t="s">
        <v>982</v>
      </c>
      <c r="K24" s="7" t="str">
        <f>HYPERLINK("http://slimages.macys.com/is/image/MCY/9616441 ")</f>
        <v xml:space="preserve">http://slimages.macys.com/is/image/MCY/9616441 </v>
      </c>
      <c r="L24" s="9"/>
    </row>
    <row r="25" spans="1:12" ht="20.100000000000001" customHeight="1" x14ac:dyDescent="0.25">
      <c r="A25" s="12" t="s">
        <v>1362</v>
      </c>
      <c r="B25" s="13">
        <v>13571386</v>
      </c>
      <c r="C25" s="8">
        <v>29927519532</v>
      </c>
      <c r="D25" s="6" t="s">
        <v>1299</v>
      </c>
      <c r="E25" s="18">
        <v>2</v>
      </c>
      <c r="F25" s="14">
        <v>44.99</v>
      </c>
      <c r="G25" s="14">
        <v>89.98</v>
      </c>
      <c r="H25" s="7" t="s">
        <v>1056</v>
      </c>
      <c r="I25" s="7" t="s">
        <v>947</v>
      </c>
      <c r="J25" s="7" t="s">
        <v>982</v>
      </c>
      <c r="K25" s="7" t="str">
        <f>HYPERLINK("http://slimages.macys.com/is/image/MCY/9057368 ")</f>
        <v xml:space="preserve">http://slimages.macys.com/is/image/MCY/9057368 </v>
      </c>
      <c r="L25" s="9"/>
    </row>
    <row r="26" spans="1:12" ht="20.100000000000001" customHeight="1" x14ac:dyDescent="0.25">
      <c r="A26" s="12" t="s">
        <v>1362</v>
      </c>
      <c r="B26" s="13">
        <v>13571386</v>
      </c>
      <c r="C26" s="8">
        <v>29927519631</v>
      </c>
      <c r="D26" s="6" t="s">
        <v>1474</v>
      </c>
      <c r="E26" s="18">
        <v>2</v>
      </c>
      <c r="F26" s="14">
        <v>35.99</v>
      </c>
      <c r="G26" s="14">
        <v>71.98</v>
      </c>
      <c r="H26" s="7" t="s">
        <v>1116</v>
      </c>
      <c r="I26" s="7" t="s">
        <v>947</v>
      </c>
      <c r="J26" s="7" t="s">
        <v>982</v>
      </c>
      <c r="K26" s="7" t="str">
        <f>HYPERLINK("http://slimages.macys.com/is/image/MCY/9057469 ")</f>
        <v xml:space="preserve">http://slimages.macys.com/is/image/MCY/9057469 </v>
      </c>
      <c r="L26" s="9"/>
    </row>
    <row r="27" spans="1:12" ht="20.100000000000001" customHeight="1" x14ac:dyDescent="0.25">
      <c r="A27" s="12" t="s">
        <v>1362</v>
      </c>
      <c r="B27" s="13">
        <v>13571386</v>
      </c>
      <c r="C27" s="8">
        <v>29927524475</v>
      </c>
      <c r="D27" s="6" t="s">
        <v>1300</v>
      </c>
      <c r="E27" s="18">
        <v>1</v>
      </c>
      <c r="F27" s="14">
        <v>15.99</v>
      </c>
      <c r="G27" s="14">
        <v>15.99</v>
      </c>
      <c r="H27" s="7" t="s">
        <v>941</v>
      </c>
      <c r="I27" s="7" t="s">
        <v>947</v>
      </c>
      <c r="J27" s="7" t="s">
        <v>982</v>
      </c>
      <c r="K27" s="7" t="str">
        <f>HYPERLINK("http://slimages.macys.com/is/image/MCY/16270435 ")</f>
        <v xml:space="preserve">http://slimages.macys.com/is/image/MCY/16270435 </v>
      </c>
      <c r="L27" s="9"/>
    </row>
    <row r="28" spans="1:12" ht="20.100000000000001" customHeight="1" x14ac:dyDescent="0.25">
      <c r="A28" s="12" t="s">
        <v>1362</v>
      </c>
      <c r="B28" s="13">
        <v>13571386</v>
      </c>
      <c r="C28" s="8">
        <v>29927524833</v>
      </c>
      <c r="D28" s="6" t="s">
        <v>1475</v>
      </c>
      <c r="E28" s="18">
        <v>1</v>
      </c>
      <c r="F28" s="14">
        <v>24.99</v>
      </c>
      <c r="G28" s="14">
        <v>24.99</v>
      </c>
      <c r="H28" s="7" t="s">
        <v>1095</v>
      </c>
      <c r="I28" s="7" t="s">
        <v>947</v>
      </c>
      <c r="J28" s="7" t="s">
        <v>982</v>
      </c>
      <c r="K28" s="7" t="str">
        <f>HYPERLINK("http://slimages.macys.com/is/image/MCY/9644106 ")</f>
        <v xml:space="preserve">http://slimages.macys.com/is/image/MCY/9644106 </v>
      </c>
      <c r="L28" s="9"/>
    </row>
    <row r="29" spans="1:12" ht="20.100000000000001" customHeight="1" x14ac:dyDescent="0.25">
      <c r="A29" s="12" t="s">
        <v>1362</v>
      </c>
      <c r="B29" s="13">
        <v>13571386</v>
      </c>
      <c r="C29" s="8">
        <v>29927524901</v>
      </c>
      <c r="D29" s="6" t="s">
        <v>1476</v>
      </c>
      <c r="E29" s="18">
        <v>5</v>
      </c>
      <c r="F29" s="14">
        <v>24.99</v>
      </c>
      <c r="G29" s="14">
        <v>124.95</v>
      </c>
      <c r="H29" s="7" t="s">
        <v>1001</v>
      </c>
      <c r="I29" s="7" t="s">
        <v>947</v>
      </c>
      <c r="J29" s="7" t="s">
        <v>982</v>
      </c>
      <c r="K29" s="7" t="str">
        <f>HYPERLINK("http://slimages.macys.com/is/image/MCY/12936265 ")</f>
        <v xml:space="preserve">http://slimages.macys.com/is/image/MCY/12936265 </v>
      </c>
      <c r="L29" s="9"/>
    </row>
    <row r="30" spans="1:12" ht="20.100000000000001" customHeight="1" x14ac:dyDescent="0.25">
      <c r="A30" s="12" t="s">
        <v>1362</v>
      </c>
      <c r="B30" s="13">
        <v>13571386</v>
      </c>
      <c r="C30" s="8">
        <v>29927524987</v>
      </c>
      <c r="D30" s="6" t="s">
        <v>1477</v>
      </c>
      <c r="E30" s="18">
        <v>2</v>
      </c>
      <c r="F30" s="14">
        <v>26.99</v>
      </c>
      <c r="G30" s="14">
        <v>53.98</v>
      </c>
      <c r="H30" s="7" t="s">
        <v>981</v>
      </c>
      <c r="I30" s="7" t="s">
        <v>947</v>
      </c>
      <c r="J30" s="7" t="s">
        <v>982</v>
      </c>
      <c r="K30" s="7" t="str">
        <f>HYPERLINK("http://slimages.macys.com/is/image/MCY/9644106 ")</f>
        <v xml:space="preserve">http://slimages.macys.com/is/image/MCY/9644106 </v>
      </c>
      <c r="L30" s="9"/>
    </row>
    <row r="31" spans="1:12" ht="20.100000000000001" customHeight="1" x14ac:dyDescent="0.25">
      <c r="A31" s="12" t="s">
        <v>1362</v>
      </c>
      <c r="B31" s="13">
        <v>13571386</v>
      </c>
      <c r="C31" s="8">
        <v>29927532135</v>
      </c>
      <c r="D31" s="6" t="s">
        <v>1478</v>
      </c>
      <c r="E31" s="18">
        <v>1</v>
      </c>
      <c r="F31" s="14">
        <v>14.99</v>
      </c>
      <c r="G31" s="14">
        <v>14.99</v>
      </c>
      <c r="H31" s="7" t="s">
        <v>1001</v>
      </c>
      <c r="I31" s="7" t="s">
        <v>947</v>
      </c>
      <c r="J31" s="7" t="s">
        <v>982</v>
      </c>
      <c r="K31" s="7" t="str">
        <f>HYPERLINK("http://slimages.macys.com/is/image/MCY/9058123 ")</f>
        <v xml:space="preserve">http://slimages.macys.com/is/image/MCY/9058123 </v>
      </c>
      <c r="L31" s="9"/>
    </row>
    <row r="32" spans="1:12" ht="20.100000000000001" customHeight="1" x14ac:dyDescent="0.25">
      <c r="A32" s="12" t="s">
        <v>1362</v>
      </c>
      <c r="B32" s="13">
        <v>13571386</v>
      </c>
      <c r="C32" s="8">
        <v>29927532531</v>
      </c>
      <c r="D32" s="6" t="s">
        <v>1479</v>
      </c>
      <c r="E32" s="18">
        <v>2</v>
      </c>
      <c r="F32" s="14">
        <v>24.99</v>
      </c>
      <c r="G32" s="14">
        <v>49.98</v>
      </c>
      <c r="H32" s="7" t="s">
        <v>1001</v>
      </c>
      <c r="I32" s="7" t="s">
        <v>947</v>
      </c>
      <c r="J32" s="7" t="s">
        <v>982</v>
      </c>
      <c r="K32" s="7" t="str">
        <f>HYPERLINK("http://slimages.macys.com/is/image/MCY/8498656 ")</f>
        <v xml:space="preserve">http://slimages.macys.com/is/image/MCY/8498656 </v>
      </c>
      <c r="L32" s="9"/>
    </row>
    <row r="33" spans="1:12" ht="20.100000000000001" customHeight="1" x14ac:dyDescent="0.25">
      <c r="A33" s="12" t="s">
        <v>1362</v>
      </c>
      <c r="B33" s="13">
        <v>13571386</v>
      </c>
      <c r="C33" s="8">
        <v>29927550238</v>
      </c>
      <c r="D33" s="6" t="s">
        <v>1283</v>
      </c>
      <c r="E33" s="18">
        <v>1</v>
      </c>
      <c r="F33" s="14">
        <v>29.99</v>
      </c>
      <c r="G33" s="14">
        <v>29.99</v>
      </c>
      <c r="H33" s="7" t="s">
        <v>950</v>
      </c>
      <c r="I33" s="7" t="s">
        <v>947</v>
      </c>
      <c r="J33" s="7" t="s">
        <v>982</v>
      </c>
      <c r="K33" s="7" t="str">
        <f>HYPERLINK("http://slimages.macys.com/is/image/MCY/12936265 ")</f>
        <v xml:space="preserve">http://slimages.macys.com/is/image/MCY/12936265 </v>
      </c>
      <c r="L33" s="9"/>
    </row>
    <row r="34" spans="1:12" ht="20.100000000000001" customHeight="1" x14ac:dyDescent="0.25">
      <c r="A34" s="12" t="s">
        <v>1362</v>
      </c>
      <c r="B34" s="13">
        <v>13571386</v>
      </c>
      <c r="C34" s="8">
        <v>29927550863</v>
      </c>
      <c r="D34" s="6" t="s">
        <v>1480</v>
      </c>
      <c r="E34" s="18">
        <v>1</v>
      </c>
      <c r="F34" s="14">
        <v>24.99</v>
      </c>
      <c r="G34" s="14">
        <v>24.99</v>
      </c>
      <c r="H34" s="7" t="s">
        <v>944</v>
      </c>
      <c r="I34" s="7" t="s">
        <v>947</v>
      </c>
      <c r="J34" s="7" t="s">
        <v>982</v>
      </c>
      <c r="K34" s="7" t="str">
        <f>HYPERLINK("http://slimages.macys.com/is/image/MCY/9644106 ")</f>
        <v xml:space="preserve">http://slimages.macys.com/is/image/MCY/9644106 </v>
      </c>
      <c r="L34" s="9"/>
    </row>
    <row r="35" spans="1:12" ht="20.100000000000001" customHeight="1" x14ac:dyDescent="0.25">
      <c r="A35" s="12" t="s">
        <v>1362</v>
      </c>
      <c r="B35" s="13">
        <v>13571386</v>
      </c>
      <c r="C35" s="8">
        <v>29927553574</v>
      </c>
      <c r="D35" s="6" t="s">
        <v>1481</v>
      </c>
      <c r="E35" s="18">
        <v>1</v>
      </c>
      <c r="F35" s="14">
        <v>23.99</v>
      </c>
      <c r="G35" s="14">
        <v>23.99</v>
      </c>
      <c r="H35" s="7" t="s">
        <v>991</v>
      </c>
      <c r="I35" s="7" t="s">
        <v>947</v>
      </c>
      <c r="J35" s="7" t="s">
        <v>982</v>
      </c>
      <c r="K35" s="7" t="str">
        <f>HYPERLINK("http://slimages.macys.com/is/image/MCY/9972669 ")</f>
        <v xml:space="preserve">http://slimages.macys.com/is/image/MCY/9972669 </v>
      </c>
      <c r="L35" s="9"/>
    </row>
    <row r="36" spans="1:12" ht="20.100000000000001" customHeight="1" x14ac:dyDescent="0.25">
      <c r="A36" s="12" t="s">
        <v>1362</v>
      </c>
      <c r="B36" s="13">
        <v>13571386</v>
      </c>
      <c r="C36" s="8">
        <v>29927554014</v>
      </c>
      <c r="D36" s="6" t="s">
        <v>1482</v>
      </c>
      <c r="E36" s="18">
        <v>2</v>
      </c>
      <c r="F36" s="14">
        <v>31.99</v>
      </c>
      <c r="G36" s="14">
        <v>63.98</v>
      </c>
      <c r="H36" s="7" t="s">
        <v>981</v>
      </c>
      <c r="I36" s="7" t="s">
        <v>947</v>
      </c>
      <c r="J36" s="7" t="s">
        <v>982</v>
      </c>
      <c r="K36" s="7" t="str">
        <f>HYPERLINK("http://slimages.macys.com/is/image/MCY/9644106 ")</f>
        <v xml:space="preserve">http://slimages.macys.com/is/image/MCY/9644106 </v>
      </c>
      <c r="L36" s="9"/>
    </row>
    <row r="37" spans="1:12" ht="20.100000000000001" customHeight="1" x14ac:dyDescent="0.25">
      <c r="A37" s="12" t="s">
        <v>1362</v>
      </c>
      <c r="B37" s="13">
        <v>13571386</v>
      </c>
      <c r="C37" s="8">
        <v>29927558678</v>
      </c>
      <c r="D37" s="6" t="s">
        <v>1301</v>
      </c>
      <c r="E37" s="18">
        <v>1</v>
      </c>
      <c r="F37" s="14">
        <v>44.99</v>
      </c>
      <c r="G37" s="14">
        <v>44.99</v>
      </c>
      <c r="H37" s="7" t="s">
        <v>981</v>
      </c>
      <c r="I37" s="7" t="s">
        <v>947</v>
      </c>
      <c r="J37" s="7" t="s">
        <v>982</v>
      </c>
      <c r="K37" s="7" t="str">
        <f>HYPERLINK("http://slimages.macys.com/is/image/MCY/13583592 ")</f>
        <v xml:space="preserve">http://slimages.macys.com/is/image/MCY/13583592 </v>
      </c>
      <c r="L37" s="9"/>
    </row>
    <row r="38" spans="1:12" ht="20.100000000000001" customHeight="1" x14ac:dyDescent="0.25">
      <c r="A38" s="12" t="s">
        <v>1362</v>
      </c>
      <c r="B38" s="13">
        <v>13571386</v>
      </c>
      <c r="C38" s="8">
        <v>29927558692</v>
      </c>
      <c r="D38" s="6" t="s">
        <v>1483</v>
      </c>
      <c r="E38" s="18">
        <v>1</v>
      </c>
      <c r="F38" s="14">
        <v>44.99</v>
      </c>
      <c r="G38" s="14">
        <v>44.99</v>
      </c>
      <c r="H38" s="7" t="s">
        <v>1025</v>
      </c>
      <c r="I38" s="7" t="s">
        <v>947</v>
      </c>
      <c r="J38" s="7" t="s">
        <v>982</v>
      </c>
      <c r="K38" s="7" t="str">
        <f>HYPERLINK("http://slimages.macys.com/is/image/MCY/13583592 ")</f>
        <v xml:space="preserve">http://slimages.macys.com/is/image/MCY/13583592 </v>
      </c>
      <c r="L38" s="9"/>
    </row>
    <row r="39" spans="1:12" ht="20.100000000000001" customHeight="1" x14ac:dyDescent="0.25">
      <c r="A39" s="12" t="s">
        <v>1362</v>
      </c>
      <c r="B39" s="13">
        <v>13571386</v>
      </c>
      <c r="C39" s="8">
        <v>29927559088</v>
      </c>
      <c r="D39" s="6" t="s">
        <v>1484</v>
      </c>
      <c r="E39" s="18">
        <v>1</v>
      </c>
      <c r="F39" s="14">
        <v>25.99</v>
      </c>
      <c r="G39" s="14">
        <v>25.99</v>
      </c>
      <c r="H39" s="7" t="s">
        <v>1001</v>
      </c>
      <c r="I39" s="7" t="s">
        <v>947</v>
      </c>
      <c r="J39" s="7" t="s">
        <v>982</v>
      </c>
      <c r="K39" s="7" t="str">
        <f>HYPERLINK("http://slimages.macys.com/is/image/MCY/14663227 ")</f>
        <v xml:space="preserve">http://slimages.macys.com/is/image/MCY/14663227 </v>
      </c>
      <c r="L39" s="9"/>
    </row>
    <row r="40" spans="1:12" ht="20.100000000000001" customHeight="1" x14ac:dyDescent="0.25">
      <c r="A40" s="12" t="s">
        <v>1362</v>
      </c>
      <c r="B40" s="13">
        <v>13571386</v>
      </c>
      <c r="C40" s="8">
        <v>29927559187</v>
      </c>
      <c r="D40" s="6" t="s">
        <v>1485</v>
      </c>
      <c r="E40" s="18">
        <v>1</v>
      </c>
      <c r="F40" s="14">
        <v>29.99</v>
      </c>
      <c r="G40" s="14">
        <v>29.99</v>
      </c>
      <c r="H40" s="7" t="s">
        <v>941</v>
      </c>
      <c r="I40" s="7" t="s">
        <v>947</v>
      </c>
      <c r="J40" s="7" t="s">
        <v>982</v>
      </c>
      <c r="K40" s="7" t="str">
        <f>HYPERLINK("http://slimages.macys.com/is/image/MCY/14663540 ")</f>
        <v xml:space="preserve">http://slimages.macys.com/is/image/MCY/14663540 </v>
      </c>
      <c r="L40" s="9"/>
    </row>
    <row r="41" spans="1:12" ht="20.100000000000001" customHeight="1" x14ac:dyDescent="0.25">
      <c r="A41" s="12" t="s">
        <v>1362</v>
      </c>
      <c r="B41" s="13">
        <v>13571386</v>
      </c>
      <c r="C41" s="8">
        <v>29927562101</v>
      </c>
      <c r="D41" s="6" t="s">
        <v>1486</v>
      </c>
      <c r="E41" s="18">
        <v>4</v>
      </c>
      <c r="F41" s="14">
        <v>19.989999999999998</v>
      </c>
      <c r="G41" s="14">
        <v>79.959999999999994</v>
      </c>
      <c r="H41" s="7" t="s">
        <v>941</v>
      </c>
      <c r="I41" s="7" t="s">
        <v>947</v>
      </c>
      <c r="J41" s="7" t="s">
        <v>982</v>
      </c>
      <c r="K41" s="7" t="str">
        <f>HYPERLINK("http://slimages.macys.com/is/image/MCY/17939075 ")</f>
        <v xml:space="preserve">http://slimages.macys.com/is/image/MCY/17939075 </v>
      </c>
      <c r="L41" s="9"/>
    </row>
    <row r="42" spans="1:12" ht="20.100000000000001" customHeight="1" x14ac:dyDescent="0.25">
      <c r="A42" s="12" t="s">
        <v>1362</v>
      </c>
      <c r="B42" s="13">
        <v>13571386</v>
      </c>
      <c r="C42" s="8">
        <v>29927562149</v>
      </c>
      <c r="D42" s="6" t="s">
        <v>1487</v>
      </c>
      <c r="E42" s="18">
        <v>1</v>
      </c>
      <c r="F42" s="14">
        <v>21.99</v>
      </c>
      <c r="G42" s="14">
        <v>21.99</v>
      </c>
      <c r="H42" s="7" t="s">
        <v>950</v>
      </c>
      <c r="I42" s="7" t="s">
        <v>947</v>
      </c>
      <c r="J42" s="7" t="s">
        <v>982</v>
      </c>
      <c r="K42" s="7" t="str">
        <f>HYPERLINK("http://slimages.macys.com/is/image/MCY/17936226 ")</f>
        <v xml:space="preserve">http://slimages.macys.com/is/image/MCY/17936226 </v>
      </c>
      <c r="L42" s="9"/>
    </row>
    <row r="43" spans="1:12" ht="20.100000000000001" customHeight="1" x14ac:dyDescent="0.25">
      <c r="A43" s="12" t="s">
        <v>1362</v>
      </c>
      <c r="B43" s="13">
        <v>13571386</v>
      </c>
      <c r="C43" s="8">
        <v>29927562156</v>
      </c>
      <c r="D43" s="6" t="s">
        <v>1488</v>
      </c>
      <c r="E43" s="18">
        <v>1</v>
      </c>
      <c r="F43" s="14">
        <v>21.99</v>
      </c>
      <c r="G43" s="14">
        <v>21.99</v>
      </c>
      <c r="H43" s="7" t="s">
        <v>1001</v>
      </c>
      <c r="I43" s="7" t="s">
        <v>947</v>
      </c>
      <c r="J43" s="7" t="s">
        <v>982</v>
      </c>
      <c r="K43" s="7" t="str">
        <f>HYPERLINK("http://slimages.macys.com/is/image/MCY/17936226 ")</f>
        <v xml:space="preserve">http://slimages.macys.com/is/image/MCY/17936226 </v>
      </c>
      <c r="L43" s="9"/>
    </row>
    <row r="44" spans="1:12" ht="20.100000000000001" customHeight="1" x14ac:dyDescent="0.25">
      <c r="A44" s="12" t="s">
        <v>1362</v>
      </c>
      <c r="B44" s="13">
        <v>13571386</v>
      </c>
      <c r="C44" s="8">
        <v>29927562576</v>
      </c>
      <c r="D44" s="6" t="s">
        <v>1489</v>
      </c>
      <c r="E44" s="18">
        <v>4</v>
      </c>
      <c r="F44" s="14">
        <v>29.99</v>
      </c>
      <c r="G44" s="14">
        <v>119.96</v>
      </c>
      <c r="H44" s="7" t="s">
        <v>1116</v>
      </c>
      <c r="I44" s="7" t="s">
        <v>947</v>
      </c>
      <c r="J44" s="7" t="s">
        <v>982</v>
      </c>
      <c r="K44" s="7" t="str">
        <f>HYPERLINK("http://slimages.macys.com/is/image/MCY/16059876 ")</f>
        <v xml:space="preserve">http://slimages.macys.com/is/image/MCY/16059876 </v>
      </c>
      <c r="L44" s="9"/>
    </row>
    <row r="45" spans="1:12" ht="20.100000000000001" customHeight="1" x14ac:dyDescent="0.25">
      <c r="A45" s="12" t="s">
        <v>1362</v>
      </c>
      <c r="B45" s="13">
        <v>13571386</v>
      </c>
      <c r="C45" s="8">
        <v>29927563245</v>
      </c>
      <c r="D45" s="6" t="s">
        <v>1490</v>
      </c>
      <c r="E45" s="18">
        <v>1</v>
      </c>
      <c r="F45" s="14">
        <v>19.989999999999998</v>
      </c>
      <c r="G45" s="14">
        <v>19.989999999999998</v>
      </c>
      <c r="H45" s="7" t="s">
        <v>1001</v>
      </c>
      <c r="I45" s="7" t="s">
        <v>947</v>
      </c>
      <c r="J45" s="7" t="s">
        <v>982</v>
      </c>
      <c r="K45" s="7" t="str">
        <f>HYPERLINK("http://slimages.macys.com/is/image/MCY/9972957 ")</f>
        <v xml:space="preserve">http://slimages.macys.com/is/image/MCY/9972957 </v>
      </c>
      <c r="L45" s="9"/>
    </row>
    <row r="46" spans="1:12" ht="20.100000000000001" customHeight="1" x14ac:dyDescent="0.25">
      <c r="A46" s="12" t="s">
        <v>1362</v>
      </c>
      <c r="B46" s="13">
        <v>13571386</v>
      </c>
      <c r="C46" s="8">
        <v>29927565317</v>
      </c>
      <c r="D46" s="6" t="s">
        <v>1491</v>
      </c>
      <c r="E46" s="18">
        <v>1</v>
      </c>
      <c r="F46" s="14">
        <v>24.99</v>
      </c>
      <c r="G46" s="14">
        <v>24.99</v>
      </c>
      <c r="H46" s="7" t="s">
        <v>984</v>
      </c>
      <c r="I46" s="7" t="s">
        <v>947</v>
      </c>
      <c r="J46" s="7" t="s">
        <v>982</v>
      </c>
      <c r="K46" s="7" t="str">
        <f>HYPERLINK("http://slimages.macys.com/is/image/MCY/16060100 ")</f>
        <v xml:space="preserve">http://slimages.macys.com/is/image/MCY/16060100 </v>
      </c>
      <c r="L46" s="9"/>
    </row>
    <row r="47" spans="1:12" ht="20.100000000000001" customHeight="1" x14ac:dyDescent="0.25">
      <c r="A47" s="12" t="s">
        <v>1362</v>
      </c>
      <c r="B47" s="13">
        <v>13571386</v>
      </c>
      <c r="C47" s="8">
        <v>29927565720</v>
      </c>
      <c r="D47" s="6" t="s">
        <v>1303</v>
      </c>
      <c r="E47" s="18">
        <v>2</v>
      </c>
      <c r="F47" s="14">
        <v>24.99</v>
      </c>
      <c r="G47" s="14">
        <v>49.98</v>
      </c>
      <c r="H47" s="7" t="s">
        <v>1302</v>
      </c>
      <c r="I47" s="7" t="s">
        <v>947</v>
      </c>
      <c r="J47" s="7" t="s">
        <v>982</v>
      </c>
      <c r="K47" s="7" t="str">
        <f>HYPERLINK("http://slimages.macys.com/is/image/MCY/16060242 ")</f>
        <v xml:space="preserve">http://slimages.macys.com/is/image/MCY/16060242 </v>
      </c>
      <c r="L47" s="9"/>
    </row>
    <row r="48" spans="1:12" ht="20.100000000000001" customHeight="1" x14ac:dyDescent="0.25">
      <c r="A48" s="12" t="s">
        <v>1362</v>
      </c>
      <c r="B48" s="13">
        <v>13571386</v>
      </c>
      <c r="C48" s="8">
        <v>29927565843</v>
      </c>
      <c r="D48" s="6" t="s">
        <v>1492</v>
      </c>
      <c r="E48" s="18">
        <v>1</v>
      </c>
      <c r="F48" s="14">
        <v>35.99</v>
      </c>
      <c r="G48" s="14">
        <v>35.99</v>
      </c>
      <c r="H48" s="7" t="s">
        <v>950</v>
      </c>
      <c r="I48" s="7" t="s">
        <v>947</v>
      </c>
      <c r="J48" s="7" t="s">
        <v>982</v>
      </c>
      <c r="K48" s="7" t="str">
        <f>HYPERLINK("http://slimages.macys.com/is/image/MCY/16060344 ")</f>
        <v xml:space="preserve">http://slimages.macys.com/is/image/MCY/16060344 </v>
      </c>
      <c r="L48" s="9"/>
    </row>
    <row r="49" spans="1:12" ht="20.100000000000001" customHeight="1" x14ac:dyDescent="0.25">
      <c r="A49" s="12" t="s">
        <v>1362</v>
      </c>
      <c r="B49" s="13">
        <v>13571386</v>
      </c>
      <c r="C49" s="8">
        <v>30955228846</v>
      </c>
      <c r="D49" s="6" t="s">
        <v>1493</v>
      </c>
      <c r="E49" s="18">
        <v>1</v>
      </c>
      <c r="F49" s="14">
        <v>56.99</v>
      </c>
      <c r="G49" s="14">
        <v>56.99</v>
      </c>
      <c r="H49" s="7" t="s">
        <v>941</v>
      </c>
      <c r="I49" s="7" t="s">
        <v>942</v>
      </c>
      <c r="J49" s="7" t="s">
        <v>1494</v>
      </c>
      <c r="K49" s="7" t="str">
        <f>HYPERLINK("http://slimages.macys.com/is/image/MCY/14925544 ")</f>
        <v xml:space="preserve">http://slimages.macys.com/is/image/MCY/14925544 </v>
      </c>
      <c r="L49" s="9"/>
    </row>
    <row r="50" spans="1:12" ht="20.100000000000001" customHeight="1" x14ac:dyDescent="0.25">
      <c r="A50" s="12" t="s">
        <v>1362</v>
      </c>
      <c r="B50" s="13">
        <v>13571386</v>
      </c>
      <c r="C50" s="8">
        <v>32281640514</v>
      </c>
      <c r="D50" s="6" t="s">
        <v>1495</v>
      </c>
      <c r="E50" s="18">
        <v>1</v>
      </c>
      <c r="F50" s="14">
        <v>24.99</v>
      </c>
      <c r="G50" s="14">
        <v>24.99</v>
      </c>
      <c r="H50" s="7"/>
      <c r="I50" s="7" t="s">
        <v>945</v>
      </c>
      <c r="J50" s="7" t="s">
        <v>1210</v>
      </c>
      <c r="K50" s="7" t="str">
        <f>HYPERLINK("http://slimages.macys.com/is/image/MCY/18891672 ")</f>
        <v xml:space="preserve">http://slimages.macys.com/is/image/MCY/18891672 </v>
      </c>
      <c r="L50" s="9"/>
    </row>
    <row r="51" spans="1:12" ht="20.100000000000001" customHeight="1" x14ac:dyDescent="0.25">
      <c r="A51" s="12" t="s">
        <v>1362</v>
      </c>
      <c r="B51" s="13">
        <v>13571386</v>
      </c>
      <c r="C51" s="8">
        <v>34086777921</v>
      </c>
      <c r="D51" s="6" t="s">
        <v>1230</v>
      </c>
      <c r="E51" s="18">
        <v>2</v>
      </c>
      <c r="F51" s="14">
        <v>8.99</v>
      </c>
      <c r="G51" s="14">
        <v>17.98</v>
      </c>
      <c r="H51" s="7" t="s">
        <v>941</v>
      </c>
      <c r="I51" s="7" t="s">
        <v>942</v>
      </c>
      <c r="J51" s="7" t="s">
        <v>1355</v>
      </c>
      <c r="K51" s="7" t="str">
        <f>HYPERLINK("http://slimages.macys.com/is/image/MCY/18662859 ")</f>
        <v xml:space="preserve">http://slimages.macys.com/is/image/MCY/18662859 </v>
      </c>
      <c r="L51" s="9"/>
    </row>
    <row r="52" spans="1:12" ht="20.100000000000001" customHeight="1" x14ac:dyDescent="0.25">
      <c r="A52" s="12" t="s">
        <v>1362</v>
      </c>
      <c r="B52" s="13">
        <v>13571386</v>
      </c>
      <c r="C52" s="8">
        <v>34086777938</v>
      </c>
      <c r="D52" s="6" t="s">
        <v>1496</v>
      </c>
      <c r="E52" s="18">
        <v>1</v>
      </c>
      <c r="F52" s="14">
        <v>11.99</v>
      </c>
      <c r="G52" s="14">
        <v>11.99</v>
      </c>
      <c r="H52" s="7" t="s">
        <v>941</v>
      </c>
      <c r="I52" s="7" t="s">
        <v>942</v>
      </c>
      <c r="J52" s="7" t="s">
        <v>1355</v>
      </c>
      <c r="K52" s="7" t="str">
        <f>HYPERLINK("http://slimages.macys.com/is/image/MCY/18662906 ")</f>
        <v xml:space="preserve">http://slimages.macys.com/is/image/MCY/18662906 </v>
      </c>
      <c r="L52" s="9"/>
    </row>
    <row r="53" spans="1:12" ht="20.100000000000001" customHeight="1" x14ac:dyDescent="0.25">
      <c r="A53" s="12" t="s">
        <v>1362</v>
      </c>
      <c r="B53" s="13">
        <v>13571386</v>
      </c>
      <c r="C53" s="8">
        <v>41808885376</v>
      </c>
      <c r="D53" s="6" t="s">
        <v>1497</v>
      </c>
      <c r="E53" s="18">
        <v>1</v>
      </c>
      <c r="F53" s="14">
        <v>29.99</v>
      </c>
      <c r="G53" s="14">
        <v>29.99</v>
      </c>
      <c r="H53" s="7" t="s">
        <v>950</v>
      </c>
      <c r="I53" s="7" t="s">
        <v>999</v>
      </c>
      <c r="J53" s="7" t="s">
        <v>951</v>
      </c>
      <c r="K53" s="7" t="str">
        <f>HYPERLINK("http://slimages.macys.com/is/image/MCY/9374666 ")</f>
        <v xml:space="preserve">http://slimages.macys.com/is/image/MCY/9374666 </v>
      </c>
      <c r="L53" s="9"/>
    </row>
    <row r="54" spans="1:12" ht="20.100000000000001" customHeight="1" x14ac:dyDescent="0.25">
      <c r="A54" s="12" t="s">
        <v>1362</v>
      </c>
      <c r="B54" s="13">
        <v>13571386</v>
      </c>
      <c r="C54" s="8">
        <v>42075511296</v>
      </c>
      <c r="D54" s="6" t="s">
        <v>1498</v>
      </c>
      <c r="E54" s="18">
        <v>1</v>
      </c>
      <c r="F54" s="14">
        <v>99.99</v>
      </c>
      <c r="G54" s="14">
        <v>99.99</v>
      </c>
      <c r="H54" s="7" t="s">
        <v>941</v>
      </c>
      <c r="I54" s="7" t="s">
        <v>999</v>
      </c>
      <c r="J54" s="7" t="s">
        <v>1000</v>
      </c>
      <c r="K54" s="7" t="str">
        <f>HYPERLINK("http://slimages.macys.com/is/image/MCY/9708362 ")</f>
        <v xml:space="preserve">http://slimages.macys.com/is/image/MCY/9708362 </v>
      </c>
      <c r="L54" s="9"/>
    </row>
    <row r="55" spans="1:12" ht="20.100000000000001" customHeight="1" x14ac:dyDescent="0.25">
      <c r="A55" s="12" t="s">
        <v>1362</v>
      </c>
      <c r="B55" s="13">
        <v>13571386</v>
      </c>
      <c r="C55" s="8">
        <v>42075511326</v>
      </c>
      <c r="D55" s="6" t="s">
        <v>1499</v>
      </c>
      <c r="E55" s="18">
        <v>1</v>
      </c>
      <c r="F55" s="14">
        <v>39.99</v>
      </c>
      <c r="G55" s="14">
        <v>39.99</v>
      </c>
      <c r="H55" s="7" t="s">
        <v>944</v>
      </c>
      <c r="I55" s="7" t="s">
        <v>999</v>
      </c>
      <c r="J55" s="7" t="s">
        <v>1000</v>
      </c>
      <c r="K55" s="7" t="str">
        <f>HYPERLINK("http://slimages.macys.com/is/image/MCY/9705260 ")</f>
        <v xml:space="preserve">http://slimages.macys.com/is/image/MCY/9705260 </v>
      </c>
      <c r="L55" s="9"/>
    </row>
    <row r="56" spans="1:12" ht="20.100000000000001" customHeight="1" x14ac:dyDescent="0.25">
      <c r="A56" s="12" t="s">
        <v>1362</v>
      </c>
      <c r="B56" s="13">
        <v>13571386</v>
      </c>
      <c r="C56" s="8">
        <v>42075538538</v>
      </c>
      <c r="D56" s="6" t="s">
        <v>1500</v>
      </c>
      <c r="E56" s="18">
        <v>1</v>
      </c>
      <c r="F56" s="14">
        <v>70</v>
      </c>
      <c r="G56" s="14">
        <v>70</v>
      </c>
      <c r="H56" s="7" t="s">
        <v>1062</v>
      </c>
      <c r="I56" s="7" t="s">
        <v>958</v>
      </c>
      <c r="J56" s="7" t="s">
        <v>1102</v>
      </c>
      <c r="K56" s="7" t="str">
        <f>HYPERLINK("http://slimages.macys.com/is/image/MCY/10509377 ")</f>
        <v xml:space="preserve">http://slimages.macys.com/is/image/MCY/10509377 </v>
      </c>
      <c r="L56" s="9"/>
    </row>
    <row r="57" spans="1:12" ht="20.100000000000001" customHeight="1" x14ac:dyDescent="0.25">
      <c r="A57" s="12" t="s">
        <v>1362</v>
      </c>
      <c r="B57" s="13">
        <v>13571386</v>
      </c>
      <c r="C57" s="8">
        <v>42075574611</v>
      </c>
      <c r="D57" s="6" t="s">
        <v>1501</v>
      </c>
      <c r="E57" s="18">
        <v>1</v>
      </c>
      <c r="F57" s="14">
        <v>39.99</v>
      </c>
      <c r="G57" s="14">
        <v>39.99</v>
      </c>
      <c r="H57" s="7" t="s">
        <v>944</v>
      </c>
      <c r="I57" s="7" t="s">
        <v>999</v>
      </c>
      <c r="J57" s="7" t="s">
        <v>1000</v>
      </c>
      <c r="K57" s="7" t="str">
        <f>HYPERLINK("http://slimages.macys.com/is/image/MCY/12061147 ")</f>
        <v xml:space="preserve">http://slimages.macys.com/is/image/MCY/12061147 </v>
      </c>
    </row>
    <row r="58" spans="1:12" ht="20.100000000000001" customHeight="1" x14ac:dyDescent="0.25">
      <c r="A58" s="12" t="s">
        <v>1362</v>
      </c>
      <c r="B58" s="13">
        <v>13571386</v>
      </c>
      <c r="C58" s="8">
        <v>46249612178</v>
      </c>
      <c r="D58" s="6" t="s">
        <v>1502</v>
      </c>
      <c r="E58" s="18">
        <v>1</v>
      </c>
      <c r="F58" s="14">
        <v>49.99</v>
      </c>
      <c r="G58" s="14">
        <v>49.99</v>
      </c>
      <c r="H58" s="7" t="s">
        <v>941</v>
      </c>
      <c r="I58" s="7" t="s">
        <v>1003</v>
      </c>
      <c r="J58" s="7" t="s">
        <v>1075</v>
      </c>
      <c r="K58" s="7" t="str">
        <f>HYPERLINK("http://slimages.macys.com/is/image/MCY/14380606 ")</f>
        <v xml:space="preserve">http://slimages.macys.com/is/image/MCY/14380606 </v>
      </c>
    </row>
    <row r="59" spans="1:12" ht="20.100000000000001" customHeight="1" x14ac:dyDescent="0.25">
      <c r="A59" s="12" t="s">
        <v>1362</v>
      </c>
      <c r="B59" s="13">
        <v>13571386</v>
      </c>
      <c r="C59" s="8">
        <v>46249646678</v>
      </c>
      <c r="D59" s="6" t="s">
        <v>1304</v>
      </c>
      <c r="E59" s="18">
        <v>1</v>
      </c>
      <c r="F59" s="14">
        <v>7.99</v>
      </c>
      <c r="G59" s="14">
        <v>7.99</v>
      </c>
      <c r="H59" s="7" t="s">
        <v>941</v>
      </c>
      <c r="I59" s="7" t="s">
        <v>1033</v>
      </c>
      <c r="J59" s="7" t="s">
        <v>1075</v>
      </c>
      <c r="K59" s="7" t="str">
        <f>HYPERLINK("http://slimages.macys.com/is/image/MCY/17492917 ")</f>
        <v xml:space="preserve">http://slimages.macys.com/is/image/MCY/17492917 </v>
      </c>
    </row>
    <row r="60" spans="1:12" ht="20.100000000000001" customHeight="1" x14ac:dyDescent="0.25">
      <c r="A60" s="12" t="s">
        <v>1362</v>
      </c>
      <c r="B60" s="13">
        <v>13571386</v>
      </c>
      <c r="C60" s="8">
        <v>64247030046</v>
      </c>
      <c r="D60" s="6" t="s">
        <v>1503</v>
      </c>
      <c r="E60" s="18">
        <v>2</v>
      </c>
      <c r="F60" s="14">
        <v>190.99</v>
      </c>
      <c r="G60" s="14">
        <v>381.98</v>
      </c>
      <c r="H60" s="7" t="s">
        <v>941</v>
      </c>
      <c r="I60" s="7" t="s">
        <v>947</v>
      </c>
      <c r="J60" s="7" t="s">
        <v>1037</v>
      </c>
      <c r="K60" s="7" t="str">
        <f>HYPERLINK("http://slimages.macys.com/is/image/MCY/15527337 ")</f>
        <v xml:space="preserve">http://slimages.macys.com/is/image/MCY/15527337 </v>
      </c>
    </row>
    <row r="61" spans="1:12" ht="20.100000000000001" customHeight="1" x14ac:dyDescent="0.25">
      <c r="A61" s="12" t="s">
        <v>1362</v>
      </c>
      <c r="B61" s="13">
        <v>13571386</v>
      </c>
      <c r="C61" s="8">
        <v>81806615018</v>
      </c>
      <c r="D61" s="6" t="s">
        <v>1504</v>
      </c>
      <c r="E61" s="18">
        <v>1</v>
      </c>
      <c r="F61" s="14">
        <v>114.99</v>
      </c>
      <c r="G61" s="14">
        <v>114.99</v>
      </c>
      <c r="H61" s="7" t="s">
        <v>941</v>
      </c>
      <c r="I61" s="7" t="s">
        <v>961</v>
      </c>
      <c r="J61" s="7" t="s">
        <v>1189</v>
      </c>
      <c r="K61" s="7" t="str">
        <f>HYPERLINK("http://slimages.macys.com/is/image/MCY/18295864 ")</f>
        <v xml:space="preserve">http://slimages.macys.com/is/image/MCY/18295864 </v>
      </c>
    </row>
    <row r="62" spans="1:12" ht="20.100000000000001" customHeight="1" x14ac:dyDescent="0.25">
      <c r="A62" s="12" t="s">
        <v>1362</v>
      </c>
      <c r="B62" s="13">
        <v>13571386</v>
      </c>
      <c r="C62" s="8">
        <v>86569034137</v>
      </c>
      <c r="D62" s="6" t="s">
        <v>1505</v>
      </c>
      <c r="E62" s="18">
        <v>1</v>
      </c>
      <c r="F62" s="14">
        <v>27.99</v>
      </c>
      <c r="G62" s="14">
        <v>27.99</v>
      </c>
      <c r="H62" s="7" t="s">
        <v>944</v>
      </c>
      <c r="I62" s="7" t="s">
        <v>939</v>
      </c>
      <c r="J62" s="7" t="s">
        <v>1038</v>
      </c>
      <c r="K62" s="7" t="str">
        <f>HYPERLINK("http://slimages.macys.com/is/image/MCY/10377600 ")</f>
        <v xml:space="preserve">http://slimages.macys.com/is/image/MCY/10377600 </v>
      </c>
    </row>
    <row r="63" spans="1:12" ht="20.100000000000001" customHeight="1" x14ac:dyDescent="0.25">
      <c r="A63" s="12" t="s">
        <v>1362</v>
      </c>
      <c r="B63" s="13">
        <v>13571386</v>
      </c>
      <c r="C63" s="8">
        <v>86569099778</v>
      </c>
      <c r="D63" s="6" t="s">
        <v>1506</v>
      </c>
      <c r="E63" s="18">
        <v>1</v>
      </c>
      <c r="F63" s="14">
        <v>109.99</v>
      </c>
      <c r="G63" s="14">
        <v>109.99</v>
      </c>
      <c r="H63" s="7" t="s">
        <v>976</v>
      </c>
      <c r="I63" s="7" t="s">
        <v>1017</v>
      </c>
      <c r="J63" s="7" t="s">
        <v>1176</v>
      </c>
      <c r="K63" s="7" t="str">
        <f>HYPERLINK("http://slimages.macys.com/is/image/MCY/15144360 ")</f>
        <v xml:space="preserve">http://slimages.macys.com/is/image/MCY/15144360 </v>
      </c>
    </row>
    <row r="64" spans="1:12" ht="20.100000000000001" customHeight="1" x14ac:dyDescent="0.25">
      <c r="A64" s="12" t="s">
        <v>1362</v>
      </c>
      <c r="B64" s="13">
        <v>13571386</v>
      </c>
      <c r="C64" s="8">
        <v>86569111128</v>
      </c>
      <c r="D64" s="6" t="s">
        <v>1507</v>
      </c>
      <c r="E64" s="18">
        <v>1</v>
      </c>
      <c r="F64" s="14">
        <v>19.989999999999998</v>
      </c>
      <c r="G64" s="14">
        <v>19.989999999999998</v>
      </c>
      <c r="H64" s="7" t="s">
        <v>1050</v>
      </c>
      <c r="I64" s="7" t="s">
        <v>958</v>
      </c>
      <c r="J64" s="7" t="s">
        <v>955</v>
      </c>
      <c r="K64" s="7" t="str">
        <f>HYPERLINK("http://slimages.macys.com/is/image/MCY/10044172 ")</f>
        <v xml:space="preserve">http://slimages.macys.com/is/image/MCY/10044172 </v>
      </c>
    </row>
    <row r="65" spans="1:11" ht="20.100000000000001" customHeight="1" x14ac:dyDescent="0.25">
      <c r="A65" s="12" t="s">
        <v>1362</v>
      </c>
      <c r="B65" s="13">
        <v>13571386</v>
      </c>
      <c r="C65" s="8">
        <v>86569147103</v>
      </c>
      <c r="D65" s="6" t="s">
        <v>1508</v>
      </c>
      <c r="E65" s="18">
        <v>2</v>
      </c>
      <c r="F65" s="14">
        <v>160.99</v>
      </c>
      <c r="G65" s="14">
        <v>321.98</v>
      </c>
      <c r="H65" s="7" t="s">
        <v>944</v>
      </c>
      <c r="I65" s="7" t="s">
        <v>947</v>
      </c>
      <c r="J65" s="7" t="s">
        <v>955</v>
      </c>
      <c r="K65" s="7" t="str">
        <f>HYPERLINK("http://slimages.macys.com/is/image/MCY/12934069 ")</f>
        <v xml:space="preserve">http://slimages.macys.com/is/image/MCY/12934069 </v>
      </c>
    </row>
    <row r="66" spans="1:11" ht="20.100000000000001" customHeight="1" x14ac:dyDescent="0.25">
      <c r="A66" s="12" t="s">
        <v>1362</v>
      </c>
      <c r="B66" s="13">
        <v>13571386</v>
      </c>
      <c r="C66" s="8">
        <v>86569155481</v>
      </c>
      <c r="D66" s="6" t="s">
        <v>1509</v>
      </c>
      <c r="E66" s="18">
        <v>1</v>
      </c>
      <c r="F66" s="14">
        <v>11.99</v>
      </c>
      <c r="G66" s="14">
        <v>11.99</v>
      </c>
      <c r="H66" s="7" t="s">
        <v>1036</v>
      </c>
      <c r="I66" s="7" t="s">
        <v>939</v>
      </c>
      <c r="J66" s="7" t="s">
        <v>1038</v>
      </c>
      <c r="K66" s="7" t="str">
        <f>HYPERLINK("http://slimages.macys.com/is/image/MCY/13347252 ")</f>
        <v xml:space="preserve">http://slimages.macys.com/is/image/MCY/13347252 </v>
      </c>
    </row>
    <row r="67" spans="1:11" ht="20.100000000000001" customHeight="1" x14ac:dyDescent="0.25">
      <c r="A67" s="12" t="s">
        <v>1362</v>
      </c>
      <c r="B67" s="13">
        <v>13571386</v>
      </c>
      <c r="C67" s="8">
        <v>86569184320</v>
      </c>
      <c r="D67" s="6" t="s">
        <v>1510</v>
      </c>
      <c r="E67" s="18">
        <v>1</v>
      </c>
      <c r="F67" s="14">
        <v>250.99</v>
      </c>
      <c r="G67" s="14">
        <v>250.99</v>
      </c>
      <c r="H67" s="7" t="s">
        <v>941</v>
      </c>
      <c r="I67" s="7" t="s">
        <v>945</v>
      </c>
      <c r="J67" s="7" t="s">
        <v>955</v>
      </c>
      <c r="K67" s="7" t="str">
        <f>HYPERLINK("http://slimages.macys.com/is/image/MCY/11454210 ")</f>
        <v xml:space="preserve">http://slimages.macys.com/is/image/MCY/11454210 </v>
      </c>
    </row>
    <row r="68" spans="1:11" ht="20.100000000000001" customHeight="1" x14ac:dyDescent="0.25">
      <c r="A68" s="12" t="s">
        <v>1362</v>
      </c>
      <c r="B68" s="13">
        <v>13571386</v>
      </c>
      <c r="C68" s="8">
        <v>86569287250</v>
      </c>
      <c r="D68" s="6" t="s">
        <v>1511</v>
      </c>
      <c r="E68" s="18">
        <v>2</v>
      </c>
      <c r="F68" s="14">
        <v>139.99</v>
      </c>
      <c r="G68" s="14">
        <v>279.98</v>
      </c>
      <c r="H68" s="7" t="s">
        <v>944</v>
      </c>
      <c r="I68" s="7" t="s">
        <v>1017</v>
      </c>
      <c r="J68" s="7" t="s">
        <v>955</v>
      </c>
      <c r="K68" s="7" t="str">
        <f>HYPERLINK("http://slimages.macys.com/is/image/MCY/17387339 ")</f>
        <v xml:space="preserve">http://slimages.macys.com/is/image/MCY/17387339 </v>
      </c>
    </row>
    <row r="69" spans="1:11" ht="20.100000000000001" customHeight="1" x14ac:dyDescent="0.25">
      <c r="A69" s="12" t="s">
        <v>1362</v>
      </c>
      <c r="B69" s="13">
        <v>13571386</v>
      </c>
      <c r="C69" s="8">
        <v>86569348272</v>
      </c>
      <c r="D69" s="6" t="s">
        <v>1512</v>
      </c>
      <c r="E69" s="18">
        <v>1</v>
      </c>
      <c r="F69" s="14">
        <v>19.989999999999998</v>
      </c>
      <c r="G69" s="14">
        <v>19.989999999999998</v>
      </c>
      <c r="H69" s="7"/>
      <c r="I69" s="7" t="s">
        <v>958</v>
      </c>
      <c r="J69" s="7" t="s">
        <v>955</v>
      </c>
      <c r="K69" s="7" t="str">
        <f>HYPERLINK("http://slimages.macys.com/is/image/MCY/16685185 ")</f>
        <v xml:space="preserve">http://slimages.macys.com/is/image/MCY/16685185 </v>
      </c>
    </row>
    <row r="70" spans="1:11" ht="20.100000000000001" customHeight="1" x14ac:dyDescent="0.25">
      <c r="A70" s="12" t="s">
        <v>1362</v>
      </c>
      <c r="B70" s="13">
        <v>13571386</v>
      </c>
      <c r="C70" s="8">
        <v>86569349279</v>
      </c>
      <c r="D70" s="6" t="s">
        <v>954</v>
      </c>
      <c r="E70" s="18">
        <v>2</v>
      </c>
      <c r="F70" s="14">
        <v>109.99</v>
      </c>
      <c r="G70" s="14">
        <v>219.98</v>
      </c>
      <c r="H70" s="7" t="s">
        <v>950</v>
      </c>
      <c r="I70" s="7" t="s">
        <v>945</v>
      </c>
      <c r="J70" s="7" t="s">
        <v>955</v>
      </c>
      <c r="K70" s="7" t="str">
        <f>HYPERLINK("http://slimages.macys.com/is/image/MCY/16650708 ")</f>
        <v xml:space="preserve">http://slimages.macys.com/is/image/MCY/16650708 </v>
      </c>
    </row>
    <row r="71" spans="1:11" ht="20.100000000000001" customHeight="1" x14ac:dyDescent="0.25">
      <c r="A71" s="12" t="s">
        <v>1362</v>
      </c>
      <c r="B71" s="13">
        <v>13571386</v>
      </c>
      <c r="C71" s="8">
        <v>86569363428</v>
      </c>
      <c r="D71" s="6" t="s">
        <v>1306</v>
      </c>
      <c r="E71" s="18">
        <v>1</v>
      </c>
      <c r="F71" s="14">
        <v>35.99</v>
      </c>
      <c r="G71" s="14">
        <v>35.99</v>
      </c>
      <c r="H71" s="7" t="s">
        <v>952</v>
      </c>
      <c r="I71" s="7" t="s">
        <v>1011</v>
      </c>
      <c r="J71" s="7" t="s">
        <v>1042</v>
      </c>
      <c r="K71" s="7" t="str">
        <f>HYPERLINK("http://slimages.macys.com/is/image/MCY/9489266 ")</f>
        <v xml:space="preserve">http://slimages.macys.com/is/image/MCY/9489266 </v>
      </c>
    </row>
    <row r="72" spans="1:11" ht="20.100000000000001" customHeight="1" x14ac:dyDescent="0.25">
      <c r="A72" s="12" t="s">
        <v>1362</v>
      </c>
      <c r="B72" s="13">
        <v>13571386</v>
      </c>
      <c r="C72" s="8">
        <v>86569373076</v>
      </c>
      <c r="D72" s="6" t="s">
        <v>1087</v>
      </c>
      <c r="E72" s="18">
        <v>1</v>
      </c>
      <c r="F72" s="14">
        <v>39.99</v>
      </c>
      <c r="G72" s="14">
        <v>39.99</v>
      </c>
      <c r="H72" s="7" t="s">
        <v>941</v>
      </c>
      <c r="I72" s="7" t="s">
        <v>1058</v>
      </c>
      <c r="J72" s="7" t="s">
        <v>1088</v>
      </c>
      <c r="K72" s="7" t="str">
        <f>HYPERLINK("http://slimages.macys.com/is/image/MCY/8839662 ")</f>
        <v xml:space="preserve">http://slimages.macys.com/is/image/MCY/8839662 </v>
      </c>
    </row>
    <row r="73" spans="1:11" ht="20.100000000000001" customHeight="1" x14ac:dyDescent="0.25">
      <c r="A73" s="12" t="s">
        <v>1362</v>
      </c>
      <c r="B73" s="13">
        <v>13571386</v>
      </c>
      <c r="C73" s="8">
        <v>86569387677</v>
      </c>
      <c r="D73" s="6" t="s">
        <v>1513</v>
      </c>
      <c r="E73" s="18">
        <v>1</v>
      </c>
      <c r="F73" s="14">
        <v>89.99</v>
      </c>
      <c r="G73" s="14">
        <v>89.99</v>
      </c>
      <c r="H73" s="7" t="s">
        <v>1051</v>
      </c>
      <c r="I73" s="7" t="s">
        <v>1342</v>
      </c>
      <c r="J73" s="7" t="s">
        <v>1105</v>
      </c>
      <c r="K73" s="7" t="str">
        <f>HYPERLINK("http://slimages.macys.com/is/image/MCY/17594577 ")</f>
        <v xml:space="preserve">http://slimages.macys.com/is/image/MCY/17594577 </v>
      </c>
    </row>
    <row r="74" spans="1:11" ht="20.100000000000001" customHeight="1" x14ac:dyDescent="0.25">
      <c r="A74" s="12" t="s">
        <v>1362</v>
      </c>
      <c r="B74" s="13">
        <v>13571386</v>
      </c>
      <c r="C74" s="8">
        <v>86569496805</v>
      </c>
      <c r="D74" s="6" t="s">
        <v>1514</v>
      </c>
      <c r="E74" s="18">
        <v>1</v>
      </c>
      <c r="F74" s="14">
        <v>79.989999999999995</v>
      </c>
      <c r="G74" s="14">
        <v>79.989999999999995</v>
      </c>
      <c r="H74" s="7" t="s">
        <v>941</v>
      </c>
      <c r="I74" s="7" t="s">
        <v>945</v>
      </c>
      <c r="J74" s="7" t="s">
        <v>955</v>
      </c>
      <c r="K74" s="7" t="str">
        <f>HYPERLINK("http://slimages.macys.com/is/image/MCY/18974231 ")</f>
        <v xml:space="preserve">http://slimages.macys.com/is/image/MCY/18974231 </v>
      </c>
    </row>
    <row r="75" spans="1:11" ht="20.100000000000001" customHeight="1" x14ac:dyDescent="0.25">
      <c r="A75" s="12" t="s">
        <v>1362</v>
      </c>
      <c r="B75" s="13">
        <v>13571386</v>
      </c>
      <c r="C75" s="8">
        <v>86569896704</v>
      </c>
      <c r="D75" s="6" t="s">
        <v>1515</v>
      </c>
      <c r="E75" s="18">
        <v>1</v>
      </c>
      <c r="F75" s="14">
        <v>52.99</v>
      </c>
      <c r="G75" s="14">
        <v>52.99</v>
      </c>
      <c r="H75" s="7" t="s">
        <v>952</v>
      </c>
      <c r="I75" s="7" t="s">
        <v>947</v>
      </c>
      <c r="J75" s="7" t="s">
        <v>955</v>
      </c>
      <c r="K75" s="7" t="str">
        <f>HYPERLINK("http://slimages.macys.com/is/image/MCY/9613994 ")</f>
        <v xml:space="preserve">http://slimages.macys.com/is/image/MCY/9613994 </v>
      </c>
    </row>
    <row r="76" spans="1:11" ht="20.100000000000001" customHeight="1" x14ac:dyDescent="0.25">
      <c r="A76" s="12" t="s">
        <v>1362</v>
      </c>
      <c r="B76" s="13">
        <v>13571386</v>
      </c>
      <c r="C76" s="8">
        <v>86569897619</v>
      </c>
      <c r="D76" s="6" t="s">
        <v>1516</v>
      </c>
      <c r="E76" s="18">
        <v>1</v>
      </c>
      <c r="F76" s="14">
        <v>27.99</v>
      </c>
      <c r="G76" s="14">
        <v>27.99</v>
      </c>
      <c r="H76" s="7" t="s">
        <v>941</v>
      </c>
      <c r="I76" s="7" t="s">
        <v>939</v>
      </c>
      <c r="J76" s="7" t="s">
        <v>1038</v>
      </c>
      <c r="K76" s="7" t="str">
        <f>HYPERLINK("http://slimages.macys.com/is/image/MCY/15710367 ")</f>
        <v xml:space="preserve">http://slimages.macys.com/is/image/MCY/15710367 </v>
      </c>
    </row>
    <row r="77" spans="1:11" ht="20.100000000000001" customHeight="1" x14ac:dyDescent="0.25">
      <c r="A77" s="12" t="s">
        <v>1362</v>
      </c>
      <c r="B77" s="13">
        <v>13571386</v>
      </c>
      <c r="C77" s="8">
        <v>86569902825</v>
      </c>
      <c r="D77" s="6" t="s">
        <v>1517</v>
      </c>
      <c r="E77" s="18">
        <v>2</v>
      </c>
      <c r="F77" s="14">
        <v>44.99</v>
      </c>
      <c r="G77" s="14">
        <v>89.98</v>
      </c>
      <c r="H77" s="7" t="s">
        <v>1030</v>
      </c>
      <c r="I77" s="7" t="s">
        <v>947</v>
      </c>
      <c r="J77" s="7" t="s">
        <v>955</v>
      </c>
      <c r="K77" s="7" t="str">
        <f>HYPERLINK("http://slimages.macys.com/is/image/MCY/9310362 ")</f>
        <v xml:space="preserve">http://slimages.macys.com/is/image/MCY/9310362 </v>
      </c>
    </row>
    <row r="78" spans="1:11" ht="20.100000000000001" customHeight="1" x14ac:dyDescent="0.25">
      <c r="A78" s="12" t="s">
        <v>1362</v>
      </c>
      <c r="B78" s="13">
        <v>13571386</v>
      </c>
      <c r="C78" s="8">
        <v>86569991829</v>
      </c>
      <c r="D78" s="6" t="s">
        <v>1518</v>
      </c>
      <c r="E78" s="18">
        <v>1</v>
      </c>
      <c r="F78" s="14">
        <v>74.989999999999995</v>
      </c>
      <c r="G78" s="14">
        <v>74.989999999999995</v>
      </c>
      <c r="H78" s="7" t="s">
        <v>952</v>
      </c>
      <c r="I78" s="7" t="s">
        <v>947</v>
      </c>
      <c r="J78" s="7" t="s">
        <v>955</v>
      </c>
      <c r="K78" s="7" t="str">
        <f>HYPERLINK("http://slimages.macys.com/is/image/MCY/11112694 ")</f>
        <v xml:space="preserve">http://slimages.macys.com/is/image/MCY/11112694 </v>
      </c>
    </row>
    <row r="79" spans="1:11" ht="20.100000000000001" customHeight="1" x14ac:dyDescent="0.25">
      <c r="A79" s="12" t="s">
        <v>1362</v>
      </c>
      <c r="B79" s="13">
        <v>13571386</v>
      </c>
      <c r="C79" s="8">
        <v>91116729589</v>
      </c>
      <c r="D79" s="6" t="s">
        <v>1309</v>
      </c>
      <c r="E79" s="18">
        <v>1</v>
      </c>
      <c r="F79" s="14">
        <v>18.989999999999998</v>
      </c>
      <c r="G79" s="14">
        <v>18.989999999999998</v>
      </c>
      <c r="H79" s="7"/>
      <c r="I79" s="7" t="s">
        <v>939</v>
      </c>
      <c r="J79" s="7" t="s">
        <v>1249</v>
      </c>
      <c r="K79" s="7" t="str">
        <f>HYPERLINK("http://slimages.macys.com/is/image/MCY/3153811 ")</f>
        <v xml:space="preserve">http://slimages.macys.com/is/image/MCY/3153811 </v>
      </c>
    </row>
    <row r="80" spans="1:11" ht="20.100000000000001" customHeight="1" x14ac:dyDescent="0.25">
      <c r="A80" s="12" t="s">
        <v>1362</v>
      </c>
      <c r="B80" s="13">
        <v>13571386</v>
      </c>
      <c r="C80" s="8">
        <v>91116729893</v>
      </c>
      <c r="D80" s="6" t="s">
        <v>1519</v>
      </c>
      <c r="E80" s="18">
        <v>1</v>
      </c>
      <c r="F80" s="14">
        <v>18.989999999999998</v>
      </c>
      <c r="G80" s="14">
        <v>18.989999999999998</v>
      </c>
      <c r="H80" s="7" t="s">
        <v>1068</v>
      </c>
      <c r="I80" s="7" t="s">
        <v>939</v>
      </c>
      <c r="J80" s="7" t="s">
        <v>1249</v>
      </c>
      <c r="K80" s="7" t="str">
        <f>HYPERLINK("http://slimages.macys.com/is/image/MCY/8967150 ")</f>
        <v xml:space="preserve">http://slimages.macys.com/is/image/MCY/8967150 </v>
      </c>
    </row>
    <row r="81" spans="1:11" ht="20.100000000000001" customHeight="1" x14ac:dyDescent="0.25">
      <c r="A81" s="12" t="s">
        <v>1362</v>
      </c>
      <c r="B81" s="13">
        <v>13571386</v>
      </c>
      <c r="C81" s="8">
        <v>96675394018</v>
      </c>
      <c r="D81" s="6" t="s">
        <v>1365</v>
      </c>
      <c r="E81" s="18">
        <v>1</v>
      </c>
      <c r="F81" s="14">
        <v>17.989999999999998</v>
      </c>
      <c r="G81" s="14">
        <v>17.989999999999998</v>
      </c>
      <c r="H81" s="7" t="s">
        <v>941</v>
      </c>
      <c r="I81" s="7" t="s">
        <v>942</v>
      </c>
      <c r="J81" s="7" t="s">
        <v>1070</v>
      </c>
      <c r="K81" s="7" t="str">
        <f>HYPERLINK("http://slimages.macys.com/is/image/MCY/18461838 ")</f>
        <v xml:space="preserve">http://slimages.macys.com/is/image/MCY/18461838 </v>
      </c>
    </row>
    <row r="82" spans="1:11" ht="20.100000000000001" customHeight="1" x14ac:dyDescent="0.25">
      <c r="A82" s="12" t="s">
        <v>1362</v>
      </c>
      <c r="B82" s="13">
        <v>13571386</v>
      </c>
      <c r="C82" s="8">
        <v>96675509825</v>
      </c>
      <c r="D82" s="6" t="s">
        <v>1520</v>
      </c>
      <c r="E82" s="18">
        <v>1</v>
      </c>
      <c r="F82" s="14">
        <v>113.99</v>
      </c>
      <c r="G82" s="14">
        <v>113.99</v>
      </c>
      <c r="H82" s="7" t="s">
        <v>941</v>
      </c>
      <c r="I82" s="7" t="s">
        <v>942</v>
      </c>
      <c r="J82" s="7" t="s">
        <v>1070</v>
      </c>
      <c r="K82" s="7" t="str">
        <f>HYPERLINK("http://slimages.macys.com/is/image/MCY/17596357 ")</f>
        <v xml:space="preserve">http://slimages.macys.com/is/image/MCY/17596357 </v>
      </c>
    </row>
    <row r="83" spans="1:11" ht="20.100000000000001" customHeight="1" x14ac:dyDescent="0.25">
      <c r="A83" s="12" t="s">
        <v>1362</v>
      </c>
      <c r="B83" s="13">
        <v>13571386</v>
      </c>
      <c r="C83" s="8">
        <v>96675612235</v>
      </c>
      <c r="D83" s="6" t="s">
        <v>1521</v>
      </c>
      <c r="E83" s="18">
        <v>1</v>
      </c>
      <c r="F83" s="14">
        <v>289.99</v>
      </c>
      <c r="G83" s="14">
        <v>289.99</v>
      </c>
      <c r="H83" s="7" t="s">
        <v>941</v>
      </c>
      <c r="I83" s="7" t="s">
        <v>942</v>
      </c>
      <c r="J83" s="7" t="s">
        <v>1070</v>
      </c>
      <c r="K83" s="7" t="str">
        <f>HYPERLINK("http://slimages.macys.com/is/image/MCY/15866479 ")</f>
        <v xml:space="preserve">http://slimages.macys.com/is/image/MCY/15866479 </v>
      </c>
    </row>
    <row r="84" spans="1:11" ht="20.100000000000001" customHeight="1" x14ac:dyDescent="0.25">
      <c r="A84" s="12" t="s">
        <v>1362</v>
      </c>
      <c r="B84" s="13">
        <v>13571386</v>
      </c>
      <c r="C84" s="8">
        <v>96675627178</v>
      </c>
      <c r="D84" s="6" t="s">
        <v>1522</v>
      </c>
      <c r="E84" s="18">
        <v>1</v>
      </c>
      <c r="F84" s="14">
        <v>26.99</v>
      </c>
      <c r="G84" s="14">
        <v>26.99</v>
      </c>
      <c r="H84" s="7" t="s">
        <v>941</v>
      </c>
      <c r="I84" s="7" t="s">
        <v>942</v>
      </c>
      <c r="J84" s="7" t="s">
        <v>1070</v>
      </c>
      <c r="K84" s="7" t="str">
        <f>HYPERLINK("http://slimages.macys.com/is/image/MCY/3835865 ")</f>
        <v xml:space="preserve">http://slimages.macys.com/is/image/MCY/3835865 </v>
      </c>
    </row>
    <row r="85" spans="1:11" ht="20.100000000000001" customHeight="1" x14ac:dyDescent="0.25">
      <c r="A85" s="12" t="s">
        <v>1362</v>
      </c>
      <c r="B85" s="13">
        <v>13571386</v>
      </c>
      <c r="C85" s="8">
        <v>96675642126</v>
      </c>
      <c r="D85" s="6" t="s">
        <v>1366</v>
      </c>
      <c r="E85" s="18">
        <v>5</v>
      </c>
      <c r="F85" s="14">
        <v>24.99</v>
      </c>
      <c r="G85" s="14">
        <v>124.95</v>
      </c>
      <c r="H85" s="7" t="s">
        <v>941</v>
      </c>
      <c r="I85" s="7" t="s">
        <v>942</v>
      </c>
      <c r="J85" s="7" t="s">
        <v>1070</v>
      </c>
      <c r="K85" s="7" t="str">
        <f>HYPERLINK("http://slimages.macys.com/is/image/MCY/14724460 ")</f>
        <v xml:space="preserve">http://slimages.macys.com/is/image/MCY/14724460 </v>
      </c>
    </row>
    <row r="86" spans="1:11" ht="20.100000000000001" customHeight="1" x14ac:dyDescent="0.25">
      <c r="A86" s="12" t="s">
        <v>1362</v>
      </c>
      <c r="B86" s="13">
        <v>13571386</v>
      </c>
      <c r="C86" s="8">
        <v>96675700819</v>
      </c>
      <c r="D86" s="6" t="s">
        <v>1069</v>
      </c>
      <c r="E86" s="18">
        <v>1</v>
      </c>
      <c r="F86" s="14">
        <v>59.99</v>
      </c>
      <c r="G86" s="14">
        <v>59.99</v>
      </c>
      <c r="H86" s="7" t="s">
        <v>941</v>
      </c>
      <c r="I86" s="7" t="s">
        <v>942</v>
      </c>
      <c r="J86" s="7" t="s">
        <v>1070</v>
      </c>
      <c r="K86" s="7" t="str">
        <f>HYPERLINK("http://slimages.macys.com/is/image/MCY/11443707 ")</f>
        <v xml:space="preserve">http://slimages.macys.com/is/image/MCY/11443707 </v>
      </c>
    </row>
    <row r="87" spans="1:11" ht="20.100000000000001" customHeight="1" x14ac:dyDescent="0.25">
      <c r="A87" s="12" t="s">
        <v>1362</v>
      </c>
      <c r="B87" s="13">
        <v>13571386</v>
      </c>
      <c r="C87" s="8">
        <v>96675776265</v>
      </c>
      <c r="D87" s="6" t="s">
        <v>1523</v>
      </c>
      <c r="E87" s="18">
        <v>1</v>
      </c>
      <c r="F87" s="14">
        <v>42.99</v>
      </c>
      <c r="G87" s="14">
        <v>42.99</v>
      </c>
      <c r="H87" s="7" t="s">
        <v>941</v>
      </c>
      <c r="I87" s="7" t="s">
        <v>942</v>
      </c>
      <c r="J87" s="7" t="s">
        <v>1070</v>
      </c>
      <c r="K87" s="7" t="str">
        <f>HYPERLINK("http://slimages.macys.com/is/image/MCY/10055952 ")</f>
        <v xml:space="preserve">http://slimages.macys.com/is/image/MCY/10055952 </v>
      </c>
    </row>
    <row r="88" spans="1:11" ht="20.100000000000001" customHeight="1" x14ac:dyDescent="0.25">
      <c r="A88" s="12" t="s">
        <v>1362</v>
      </c>
      <c r="B88" s="13">
        <v>13571386</v>
      </c>
      <c r="C88" s="8">
        <v>96675807624</v>
      </c>
      <c r="D88" s="6" t="s">
        <v>1138</v>
      </c>
      <c r="E88" s="18">
        <v>1</v>
      </c>
      <c r="F88" s="14">
        <v>44.99</v>
      </c>
      <c r="G88" s="14">
        <v>44.99</v>
      </c>
      <c r="H88" s="7" t="s">
        <v>941</v>
      </c>
      <c r="I88" s="7" t="s">
        <v>942</v>
      </c>
      <c r="J88" s="7" t="s">
        <v>1070</v>
      </c>
      <c r="K88" s="7" t="str">
        <f>HYPERLINK("http://slimages.macys.com/is/image/MCY/3208067 ")</f>
        <v xml:space="preserve">http://slimages.macys.com/is/image/MCY/3208067 </v>
      </c>
    </row>
    <row r="89" spans="1:11" ht="20.100000000000001" customHeight="1" x14ac:dyDescent="0.25">
      <c r="A89" s="12" t="s">
        <v>1362</v>
      </c>
      <c r="B89" s="13">
        <v>13571386</v>
      </c>
      <c r="C89" s="8">
        <v>190714449117</v>
      </c>
      <c r="D89" s="6" t="s">
        <v>1524</v>
      </c>
      <c r="E89" s="18">
        <v>2</v>
      </c>
      <c r="F89" s="14">
        <v>39.99</v>
      </c>
      <c r="G89" s="14">
        <v>79.98</v>
      </c>
      <c r="H89" s="7" t="s">
        <v>941</v>
      </c>
      <c r="I89" s="7" t="s">
        <v>947</v>
      </c>
      <c r="J89" s="7" t="s">
        <v>1206</v>
      </c>
      <c r="K89" s="7" t="str">
        <f>HYPERLINK("http://slimages.macys.com/is/image/MCY/18530162 ")</f>
        <v xml:space="preserve">http://slimages.macys.com/is/image/MCY/18530162 </v>
      </c>
    </row>
    <row r="90" spans="1:11" ht="20.100000000000001" customHeight="1" x14ac:dyDescent="0.25">
      <c r="A90" s="12" t="s">
        <v>1362</v>
      </c>
      <c r="B90" s="13">
        <v>13571386</v>
      </c>
      <c r="C90" s="8">
        <v>190714455002</v>
      </c>
      <c r="D90" s="6" t="s">
        <v>1525</v>
      </c>
      <c r="E90" s="18">
        <v>2</v>
      </c>
      <c r="F90" s="14">
        <v>24.99</v>
      </c>
      <c r="G90" s="14">
        <v>49.98</v>
      </c>
      <c r="H90" s="7" t="s">
        <v>941</v>
      </c>
      <c r="I90" s="7" t="s">
        <v>947</v>
      </c>
      <c r="J90" s="7" t="s">
        <v>1206</v>
      </c>
      <c r="K90" s="7" t="str">
        <f>HYPERLINK("http://slimages.macys.com/is/image/MCY/18592195 ")</f>
        <v xml:space="preserve">http://slimages.macys.com/is/image/MCY/18592195 </v>
      </c>
    </row>
    <row r="91" spans="1:11" ht="20.100000000000001" customHeight="1" x14ac:dyDescent="0.25">
      <c r="A91" s="12" t="s">
        <v>1362</v>
      </c>
      <c r="B91" s="13">
        <v>13571386</v>
      </c>
      <c r="C91" s="8">
        <v>190714455026</v>
      </c>
      <c r="D91" s="6" t="s">
        <v>1526</v>
      </c>
      <c r="E91" s="18">
        <v>1</v>
      </c>
      <c r="F91" s="14">
        <v>29.99</v>
      </c>
      <c r="G91" s="14">
        <v>29.99</v>
      </c>
      <c r="H91" s="7" t="s">
        <v>950</v>
      </c>
      <c r="I91" s="7" t="s">
        <v>947</v>
      </c>
      <c r="J91" s="7" t="s">
        <v>1206</v>
      </c>
      <c r="K91" s="7" t="str">
        <f>HYPERLINK("http://slimages.macys.com/is/image/MCY/18783933 ")</f>
        <v xml:space="preserve">http://slimages.macys.com/is/image/MCY/18783933 </v>
      </c>
    </row>
    <row r="92" spans="1:11" ht="20.100000000000001" customHeight="1" x14ac:dyDescent="0.25">
      <c r="A92" s="12" t="s">
        <v>1362</v>
      </c>
      <c r="B92" s="13">
        <v>13571386</v>
      </c>
      <c r="C92" s="8">
        <v>190733075038</v>
      </c>
      <c r="D92" s="6" t="s">
        <v>1527</v>
      </c>
      <c r="E92" s="18">
        <v>1</v>
      </c>
      <c r="F92" s="14">
        <v>70.989999999999995</v>
      </c>
      <c r="G92" s="14">
        <v>70.989999999999995</v>
      </c>
      <c r="H92" s="7" t="s">
        <v>944</v>
      </c>
      <c r="I92" s="7" t="s">
        <v>1033</v>
      </c>
      <c r="J92" s="7" t="s">
        <v>1111</v>
      </c>
      <c r="K92" s="7" t="str">
        <f>HYPERLINK("http://slimages.macys.com/is/image/MCY/10753703 ")</f>
        <v xml:space="preserve">http://slimages.macys.com/is/image/MCY/10753703 </v>
      </c>
    </row>
    <row r="93" spans="1:11" ht="20.100000000000001" customHeight="1" x14ac:dyDescent="0.25">
      <c r="A93" s="12" t="s">
        <v>1362</v>
      </c>
      <c r="B93" s="13">
        <v>13571386</v>
      </c>
      <c r="C93" s="8">
        <v>190733133714</v>
      </c>
      <c r="D93" s="6" t="s">
        <v>1528</v>
      </c>
      <c r="E93" s="18">
        <v>1</v>
      </c>
      <c r="F93" s="14">
        <v>46.99</v>
      </c>
      <c r="G93" s="14">
        <v>46.99</v>
      </c>
      <c r="H93" s="7" t="s">
        <v>944</v>
      </c>
      <c r="I93" s="7" t="s">
        <v>1033</v>
      </c>
      <c r="J93" s="7" t="s">
        <v>1111</v>
      </c>
      <c r="K93" s="7" t="str">
        <f>HYPERLINK("http://slimages.macys.com/is/image/MCY/10753901 ")</f>
        <v xml:space="preserve">http://slimages.macys.com/is/image/MCY/10753901 </v>
      </c>
    </row>
    <row r="94" spans="1:11" ht="20.100000000000001" customHeight="1" x14ac:dyDescent="0.25">
      <c r="A94" s="12" t="s">
        <v>1362</v>
      </c>
      <c r="B94" s="13">
        <v>13571386</v>
      </c>
      <c r="C94" s="8">
        <v>190945017703</v>
      </c>
      <c r="D94" s="6" t="s">
        <v>1529</v>
      </c>
      <c r="E94" s="18">
        <v>1</v>
      </c>
      <c r="F94" s="14">
        <v>220.99</v>
      </c>
      <c r="G94" s="14">
        <v>220.99</v>
      </c>
      <c r="H94" s="7" t="s">
        <v>938</v>
      </c>
      <c r="I94" s="7" t="s">
        <v>947</v>
      </c>
      <c r="J94" s="7" t="s">
        <v>1031</v>
      </c>
      <c r="K94" s="7" t="str">
        <f>HYPERLINK("http://slimages.macys.com/is/image/MCY/11629836 ")</f>
        <v xml:space="preserve">http://slimages.macys.com/is/image/MCY/11629836 </v>
      </c>
    </row>
    <row r="95" spans="1:11" ht="20.100000000000001" customHeight="1" x14ac:dyDescent="0.25">
      <c r="A95" s="12" t="s">
        <v>1362</v>
      </c>
      <c r="B95" s="13">
        <v>13571386</v>
      </c>
      <c r="C95" s="8">
        <v>190945044563</v>
      </c>
      <c r="D95" s="6" t="s">
        <v>1530</v>
      </c>
      <c r="E95" s="18">
        <v>1</v>
      </c>
      <c r="F95" s="14">
        <v>44.99</v>
      </c>
      <c r="G95" s="14">
        <v>44.99</v>
      </c>
      <c r="H95" s="7" t="s">
        <v>1001</v>
      </c>
      <c r="I95" s="7" t="s">
        <v>947</v>
      </c>
      <c r="J95" s="7" t="s">
        <v>1031</v>
      </c>
      <c r="K95" s="7" t="str">
        <f>HYPERLINK("http://slimages.macys.com/is/image/MCY/11630144 ")</f>
        <v xml:space="preserve">http://slimages.macys.com/is/image/MCY/11630144 </v>
      </c>
    </row>
    <row r="96" spans="1:11" ht="20.100000000000001" customHeight="1" x14ac:dyDescent="0.25">
      <c r="A96" s="12" t="s">
        <v>1362</v>
      </c>
      <c r="B96" s="13">
        <v>13571386</v>
      </c>
      <c r="C96" s="8">
        <v>190945049414</v>
      </c>
      <c r="D96" s="6" t="s">
        <v>1531</v>
      </c>
      <c r="E96" s="18">
        <v>2</v>
      </c>
      <c r="F96" s="14">
        <v>32</v>
      </c>
      <c r="G96" s="14">
        <v>64</v>
      </c>
      <c r="H96" s="7" t="s">
        <v>1082</v>
      </c>
      <c r="I96" s="7" t="s">
        <v>947</v>
      </c>
      <c r="J96" s="7" t="s">
        <v>1031</v>
      </c>
      <c r="K96" s="7" t="str">
        <f>HYPERLINK("http://slimages.macys.com/is/image/MCY/11630191 ")</f>
        <v xml:space="preserve">http://slimages.macys.com/is/image/MCY/11630191 </v>
      </c>
    </row>
    <row r="97" spans="1:11" ht="20.100000000000001" customHeight="1" x14ac:dyDescent="0.25">
      <c r="A97" s="12" t="s">
        <v>1362</v>
      </c>
      <c r="B97" s="13">
        <v>13571386</v>
      </c>
      <c r="C97" s="8">
        <v>190945049537</v>
      </c>
      <c r="D97" s="6" t="s">
        <v>1532</v>
      </c>
      <c r="E97" s="18">
        <v>1</v>
      </c>
      <c r="F97" s="14">
        <v>220.99</v>
      </c>
      <c r="G97" s="14">
        <v>220.99</v>
      </c>
      <c r="H97" s="7" t="s">
        <v>941</v>
      </c>
      <c r="I97" s="7" t="s">
        <v>947</v>
      </c>
      <c r="J97" s="7" t="s">
        <v>1031</v>
      </c>
      <c r="K97" s="7" t="str">
        <f>HYPERLINK("http://slimages.macys.com/is/image/MCY/11630203 ")</f>
        <v xml:space="preserve">http://slimages.macys.com/is/image/MCY/11630203 </v>
      </c>
    </row>
    <row r="98" spans="1:11" ht="20.100000000000001" customHeight="1" x14ac:dyDescent="0.25">
      <c r="A98" s="12" t="s">
        <v>1362</v>
      </c>
      <c r="B98" s="13">
        <v>13571386</v>
      </c>
      <c r="C98" s="8">
        <v>190945117397</v>
      </c>
      <c r="D98" s="6" t="s">
        <v>1533</v>
      </c>
      <c r="E98" s="18">
        <v>1</v>
      </c>
      <c r="F98" s="14">
        <v>39.99</v>
      </c>
      <c r="G98" s="14">
        <v>39.99</v>
      </c>
      <c r="H98" s="7" t="s">
        <v>1068</v>
      </c>
      <c r="I98" s="7" t="s">
        <v>947</v>
      </c>
      <c r="J98" s="7" t="s">
        <v>1031</v>
      </c>
      <c r="K98" s="7" t="str">
        <f>HYPERLINK("http://slimages.macys.com/is/image/MCY/17860470 ")</f>
        <v xml:space="preserve">http://slimages.macys.com/is/image/MCY/17860470 </v>
      </c>
    </row>
    <row r="99" spans="1:11" ht="20.100000000000001" customHeight="1" x14ac:dyDescent="0.25">
      <c r="A99" s="12" t="s">
        <v>1362</v>
      </c>
      <c r="B99" s="13">
        <v>13571386</v>
      </c>
      <c r="C99" s="8">
        <v>191790024342</v>
      </c>
      <c r="D99" s="6" t="s">
        <v>1534</v>
      </c>
      <c r="E99" s="18">
        <v>1</v>
      </c>
      <c r="F99" s="14">
        <v>59.99</v>
      </c>
      <c r="G99" s="14">
        <v>59.99</v>
      </c>
      <c r="H99" s="7" t="s">
        <v>941</v>
      </c>
      <c r="I99" s="7" t="s">
        <v>939</v>
      </c>
      <c r="J99" s="7" t="s">
        <v>986</v>
      </c>
      <c r="K99" s="7" t="str">
        <f>HYPERLINK("http://slimages.macys.com/is/image/MCY/13036438 ")</f>
        <v xml:space="preserve">http://slimages.macys.com/is/image/MCY/13036438 </v>
      </c>
    </row>
    <row r="100" spans="1:11" ht="20.100000000000001" customHeight="1" x14ac:dyDescent="0.25">
      <c r="A100" s="12" t="s">
        <v>1362</v>
      </c>
      <c r="B100" s="13">
        <v>13571386</v>
      </c>
      <c r="C100" s="8">
        <v>191790024502</v>
      </c>
      <c r="D100" s="6" t="s">
        <v>1281</v>
      </c>
      <c r="E100" s="18">
        <v>1</v>
      </c>
      <c r="F100" s="14">
        <v>59.99</v>
      </c>
      <c r="G100" s="14">
        <v>59.99</v>
      </c>
      <c r="H100" s="7" t="s">
        <v>976</v>
      </c>
      <c r="I100" s="7" t="s">
        <v>939</v>
      </c>
      <c r="J100" s="7" t="s">
        <v>986</v>
      </c>
      <c r="K100" s="7" t="str">
        <f>HYPERLINK("http://slimages.macys.com/is/image/MCY/13036438 ")</f>
        <v xml:space="preserve">http://slimages.macys.com/is/image/MCY/13036438 </v>
      </c>
    </row>
    <row r="101" spans="1:11" ht="20.100000000000001" customHeight="1" x14ac:dyDescent="0.25">
      <c r="A101" s="12" t="s">
        <v>1362</v>
      </c>
      <c r="B101" s="13">
        <v>13571386</v>
      </c>
      <c r="C101" s="8">
        <v>191790031050</v>
      </c>
      <c r="D101" s="6" t="s">
        <v>1535</v>
      </c>
      <c r="E101" s="18">
        <v>1</v>
      </c>
      <c r="F101" s="14">
        <v>132.99</v>
      </c>
      <c r="G101" s="14">
        <v>132.99</v>
      </c>
      <c r="H101" s="7" t="s">
        <v>941</v>
      </c>
      <c r="I101" s="7" t="s">
        <v>939</v>
      </c>
      <c r="J101" s="7" t="s">
        <v>986</v>
      </c>
      <c r="K101" s="7" t="str">
        <f>HYPERLINK("http://slimages.macys.com/is/image/MCY/15629302 ")</f>
        <v xml:space="preserve">http://slimages.macys.com/is/image/MCY/15629302 </v>
      </c>
    </row>
    <row r="102" spans="1:11" ht="20.100000000000001" customHeight="1" x14ac:dyDescent="0.25">
      <c r="A102" s="12" t="s">
        <v>1362</v>
      </c>
      <c r="B102" s="13">
        <v>13571386</v>
      </c>
      <c r="C102" s="8">
        <v>191790034174</v>
      </c>
      <c r="D102" s="6" t="s">
        <v>1536</v>
      </c>
      <c r="E102" s="18">
        <v>1</v>
      </c>
      <c r="F102" s="14">
        <v>49.99</v>
      </c>
      <c r="G102" s="14">
        <v>49.99</v>
      </c>
      <c r="H102" s="7" t="s">
        <v>1013</v>
      </c>
      <c r="I102" s="7" t="s">
        <v>939</v>
      </c>
      <c r="J102" s="7" t="s">
        <v>986</v>
      </c>
      <c r="K102" s="7" t="str">
        <f>HYPERLINK("http://slimages.macys.com/is/image/MCY/17449341 ")</f>
        <v xml:space="preserve">http://slimages.macys.com/is/image/MCY/17449341 </v>
      </c>
    </row>
    <row r="103" spans="1:11" ht="20.100000000000001" customHeight="1" x14ac:dyDescent="0.25">
      <c r="A103" s="12" t="s">
        <v>1362</v>
      </c>
      <c r="B103" s="13">
        <v>13571386</v>
      </c>
      <c r="C103" s="8">
        <v>191790037502</v>
      </c>
      <c r="D103" s="6" t="s">
        <v>1184</v>
      </c>
      <c r="E103" s="18">
        <v>2</v>
      </c>
      <c r="F103" s="14">
        <v>39.99</v>
      </c>
      <c r="G103" s="14">
        <v>79.98</v>
      </c>
      <c r="H103" s="7" t="s">
        <v>1068</v>
      </c>
      <c r="I103" s="7" t="s">
        <v>939</v>
      </c>
      <c r="J103" s="7" t="s">
        <v>986</v>
      </c>
      <c r="K103" s="7" t="str">
        <f>HYPERLINK("http://slimages.macys.com/is/image/MCY/16524334 ")</f>
        <v xml:space="preserve">http://slimages.macys.com/is/image/MCY/16524334 </v>
      </c>
    </row>
    <row r="104" spans="1:11" ht="20.100000000000001" customHeight="1" x14ac:dyDescent="0.25">
      <c r="A104" s="12" t="s">
        <v>1362</v>
      </c>
      <c r="B104" s="13">
        <v>13571386</v>
      </c>
      <c r="C104" s="8">
        <v>191790037519</v>
      </c>
      <c r="D104" s="6" t="s">
        <v>1537</v>
      </c>
      <c r="E104" s="18">
        <v>1</v>
      </c>
      <c r="F104" s="14">
        <v>39.99</v>
      </c>
      <c r="G104" s="14">
        <v>39.99</v>
      </c>
      <c r="H104" s="7" t="s">
        <v>950</v>
      </c>
      <c r="I104" s="7" t="s">
        <v>939</v>
      </c>
      <c r="J104" s="7" t="s">
        <v>986</v>
      </c>
      <c r="K104" s="7" t="str">
        <f>HYPERLINK("http://slimages.macys.com/is/image/MCY/16524334 ")</f>
        <v xml:space="preserve">http://slimages.macys.com/is/image/MCY/16524334 </v>
      </c>
    </row>
    <row r="105" spans="1:11" ht="20.100000000000001" customHeight="1" x14ac:dyDescent="0.25">
      <c r="A105" s="12" t="s">
        <v>1362</v>
      </c>
      <c r="B105" s="13">
        <v>13571386</v>
      </c>
      <c r="C105" s="8">
        <v>191790041097</v>
      </c>
      <c r="D105" s="6" t="s">
        <v>1538</v>
      </c>
      <c r="E105" s="18">
        <v>1</v>
      </c>
      <c r="F105" s="14">
        <v>49.99</v>
      </c>
      <c r="G105" s="14">
        <v>49.99</v>
      </c>
      <c r="H105" s="7" t="s">
        <v>987</v>
      </c>
      <c r="I105" s="7" t="s">
        <v>939</v>
      </c>
      <c r="J105" s="7" t="s">
        <v>986</v>
      </c>
      <c r="K105" s="7" t="str">
        <f>HYPERLINK("http://slimages.macys.com/is/image/MCY/17968749 ")</f>
        <v xml:space="preserve">http://slimages.macys.com/is/image/MCY/17968749 </v>
      </c>
    </row>
    <row r="106" spans="1:11" ht="20.100000000000001" customHeight="1" x14ac:dyDescent="0.25">
      <c r="A106" s="12" t="s">
        <v>1362</v>
      </c>
      <c r="B106" s="13">
        <v>13571386</v>
      </c>
      <c r="C106" s="8">
        <v>193197001797</v>
      </c>
      <c r="D106" s="6" t="s">
        <v>1539</v>
      </c>
      <c r="E106" s="18">
        <v>1</v>
      </c>
      <c r="F106" s="14">
        <v>193.99</v>
      </c>
      <c r="G106" s="14">
        <v>193.99</v>
      </c>
      <c r="H106" s="7" t="s">
        <v>950</v>
      </c>
      <c r="I106" s="7" t="s">
        <v>947</v>
      </c>
      <c r="J106" s="7" t="s">
        <v>1540</v>
      </c>
      <c r="K106" s="7" t="str">
        <f>HYPERLINK("http://slimages.macys.com/is/image/MCY/10354624 ")</f>
        <v xml:space="preserve">http://slimages.macys.com/is/image/MCY/10354624 </v>
      </c>
    </row>
    <row r="107" spans="1:11" ht="20.100000000000001" customHeight="1" x14ac:dyDescent="0.25">
      <c r="A107" s="12" t="s">
        <v>1362</v>
      </c>
      <c r="B107" s="13">
        <v>13571386</v>
      </c>
      <c r="C107" s="8">
        <v>193842103715</v>
      </c>
      <c r="D107" s="6" t="s">
        <v>1541</v>
      </c>
      <c r="E107" s="18">
        <v>2</v>
      </c>
      <c r="F107" s="14">
        <v>69.989999999999995</v>
      </c>
      <c r="G107" s="14">
        <v>139.97999999999999</v>
      </c>
      <c r="H107" s="7" t="s">
        <v>1050</v>
      </c>
      <c r="I107" s="7" t="s">
        <v>966</v>
      </c>
      <c r="J107" s="7" t="s">
        <v>967</v>
      </c>
      <c r="K107" s="7" t="str">
        <f>HYPERLINK("http://slimages.macys.com/is/image/MCY/14737611 ")</f>
        <v xml:space="preserve">http://slimages.macys.com/is/image/MCY/14737611 </v>
      </c>
    </row>
    <row r="108" spans="1:11" ht="20.100000000000001" customHeight="1" x14ac:dyDescent="0.25">
      <c r="A108" s="12" t="s">
        <v>1362</v>
      </c>
      <c r="B108" s="13">
        <v>13571386</v>
      </c>
      <c r="C108" s="8">
        <v>193842109953</v>
      </c>
      <c r="D108" s="6" t="s">
        <v>1542</v>
      </c>
      <c r="E108" s="18">
        <v>1</v>
      </c>
      <c r="F108" s="14">
        <v>152.99</v>
      </c>
      <c r="G108" s="14">
        <v>152.99</v>
      </c>
      <c r="H108" s="7" t="s">
        <v>1036</v>
      </c>
      <c r="I108" s="7" t="s">
        <v>966</v>
      </c>
      <c r="J108" s="7" t="s">
        <v>1063</v>
      </c>
      <c r="K108" s="7" t="str">
        <f>HYPERLINK("http://slimages.macys.com/is/image/MCY/18069009 ")</f>
        <v xml:space="preserve">http://slimages.macys.com/is/image/MCY/18069009 </v>
      </c>
    </row>
    <row r="109" spans="1:11" ht="20.100000000000001" customHeight="1" x14ac:dyDescent="0.25">
      <c r="A109" s="12" t="s">
        <v>1362</v>
      </c>
      <c r="B109" s="13">
        <v>13571386</v>
      </c>
      <c r="C109" s="8">
        <v>193842114162</v>
      </c>
      <c r="D109" s="6" t="s">
        <v>1543</v>
      </c>
      <c r="E109" s="18">
        <v>1</v>
      </c>
      <c r="F109" s="14">
        <v>69.989999999999995</v>
      </c>
      <c r="G109" s="14">
        <v>69.989999999999995</v>
      </c>
      <c r="H109" s="7" t="s">
        <v>988</v>
      </c>
      <c r="I109" s="7" t="s">
        <v>966</v>
      </c>
      <c r="J109" s="7" t="s">
        <v>967</v>
      </c>
      <c r="K109" s="7" t="str">
        <f>HYPERLINK("http://slimages.macys.com/is/image/MCY/17979142 ")</f>
        <v xml:space="preserve">http://slimages.macys.com/is/image/MCY/17979142 </v>
      </c>
    </row>
    <row r="110" spans="1:11" ht="20.100000000000001" customHeight="1" x14ac:dyDescent="0.25">
      <c r="A110" s="12" t="s">
        <v>1362</v>
      </c>
      <c r="B110" s="13">
        <v>13571386</v>
      </c>
      <c r="C110" s="8">
        <v>608356694234</v>
      </c>
      <c r="D110" s="6" t="s">
        <v>1544</v>
      </c>
      <c r="E110" s="18">
        <v>1</v>
      </c>
      <c r="F110" s="14">
        <v>9.99</v>
      </c>
      <c r="G110" s="14">
        <v>9.99</v>
      </c>
      <c r="H110" s="7" t="s">
        <v>941</v>
      </c>
      <c r="I110" s="7" t="s">
        <v>971</v>
      </c>
      <c r="J110" s="7" t="s">
        <v>1117</v>
      </c>
      <c r="K110" s="7" t="str">
        <f>HYPERLINK("http://slimages.macys.com/is/image/MCY/12067377 ")</f>
        <v xml:space="preserve">http://slimages.macys.com/is/image/MCY/12067377 </v>
      </c>
    </row>
    <row r="111" spans="1:11" ht="20.100000000000001" customHeight="1" x14ac:dyDescent="0.25">
      <c r="A111" s="12" t="s">
        <v>1362</v>
      </c>
      <c r="B111" s="13">
        <v>13571386</v>
      </c>
      <c r="C111" s="8">
        <v>608356697112</v>
      </c>
      <c r="D111" s="6" t="s">
        <v>1545</v>
      </c>
      <c r="E111" s="18">
        <v>1</v>
      </c>
      <c r="F111" s="14">
        <v>19.989999999999998</v>
      </c>
      <c r="G111" s="14">
        <v>19.989999999999998</v>
      </c>
      <c r="H111" s="7" t="s">
        <v>1026</v>
      </c>
      <c r="I111" s="7" t="s">
        <v>971</v>
      </c>
      <c r="J111" s="7" t="s">
        <v>1117</v>
      </c>
      <c r="K111" s="7" t="str">
        <f>HYPERLINK("http://slimages.macys.com/is/image/MCY/8665727 ")</f>
        <v xml:space="preserve">http://slimages.macys.com/is/image/MCY/8665727 </v>
      </c>
    </row>
    <row r="112" spans="1:11" ht="20.100000000000001" customHeight="1" x14ac:dyDescent="0.25">
      <c r="A112" s="12" t="s">
        <v>1362</v>
      </c>
      <c r="B112" s="13">
        <v>13571386</v>
      </c>
      <c r="C112" s="8">
        <v>608381820622</v>
      </c>
      <c r="D112" s="6" t="s">
        <v>1546</v>
      </c>
      <c r="E112" s="18">
        <v>1</v>
      </c>
      <c r="F112" s="14">
        <v>58</v>
      </c>
      <c r="G112" s="14">
        <v>58</v>
      </c>
      <c r="H112" s="7" t="s">
        <v>1013</v>
      </c>
      <c r="I112" s="7" t="s">
        <v>1033</v>
      </c>
      <c r="J112" s="7" t="s">
        <v>1264</v>
      </c>
      <c r="K112" s="7" t="str">
        <f>HYPERLINK("http://images.bloomingdales.com/is/image/BLM/10231000 ")</f>
        <v xml:space="preserve">http://images.bloomingdales.com/is/image/BLM/10231000 </v>
      </c>
    </row>
    <row r="113" spans="1:11" ht="20.100000000000001" customHeight="1" x14ac:dyDescent="0.25">
      <c r="A113" s="12" t="s">
        <v>1362</v>
      </c>
      <c r="B113" s="13">
        <v>13571386</v>
      </c>
      <c r="C113" s="8">
        <v>628961003658</v>
      </c>
      <c r="D113" s="6" t="s">
        <v>1161</v>
      </c>
      <c r="E113" s="18">
        <v>1</v>
      </c>
      <c r="F113" s="14">
        <v>99.99</v>
      </c>
      <c r="G113" s="14">
        <v>99.99</v>
      </c>
      <c r="H113" s="7" t="s">
        <v>941</v>
      </c>
      <c r="I113" s="7" t="s">
        <v>939</v>
      </c>
      <c r="J113" s="7" t="s">
        <v>1150</v>
      </c>
      <c r="K113" s="7" t="str">
        <f>HYPERLINK("http://slimages.macys.com/is/image/MCY/18974083 ")</f>
        <v xml:space="preserve">http://slimages.macys.com/is/image/MCY/18974083 </v>
      </c>
    </row>
    <row r="114" spans="1:11" ht="20.100000000000001" customHeight="1" x14ac:dyDescent="0.25">
      <c r="A114" s="12" t="s">
        <v>1362</v>
      </c>
      <c r="B114" s="13">
        <v>13571386</v>
      </c>
      <c r="C114" s="8">
        <v>628961003665</v>
      </c>
      <c r="D114" s="6" t="s">
        <v>1547</v>
      </c>
      <c r="E114" s="18">
        <v>2</v>
      </c>
      <c r="F114" s="14">
        <v>99.99</v>
      </c>
      <c r="G114" s="14">
        <v>199.98</v>
      </c>
      <c r="H114" s="7" t="s">
        <v>952</v>
      </c>
      <c r="I114" s="7" t="s">
        <v>939</v>
      </c>
      <c r="J114" s="7" t="s">
        <v>1150</v>
      </c>
      <c r="K114" s="7" t="str">
        <f>HYPERLINK("http://slimages.macys.com/is/image/MCY/18974083 ")</f>
        <v xml:space="preserve">http://slimages.macys.com/is/image/MCY/18974083 </v>
      </c>
    </row>
    <row r="115" spans="1:11" ht="20.100000000000001" customHeight="1" x14ac:dyDescent="0.25">
      <c r="A115" s="12" t="s">
        <v>1362</v>
      </c>
      <c r="B115" s="13">
        <v>13571386</v>
      </c>
      <c r="C115" s="8">
        <v>628961003672</v>
      </c>
      <c r="D115" s="6" t="s">
        <v>1268</v>
      </c>
      <c r="E115" s="18">
        <v>1</v>
      </c>
      <c r="F115" s="14">
        <v>99.99</v>
      </c>
      <c r="G115" s="14">
        <v>99.99</v>
      </c>
      <c r="H115" s="7" t="s">
        <v>976</v>
      </c>
      <c r="I115" s="7" t="s">
        <v>939</v>
      </c>
      <c r="J115" s="7" t="s">
        <v>1150</v>
      </c>
      <c r="K115" s="7" t="str">
        <f>HYPERLINK("http://slimages.macys.com/is/image/MCY/18974083 ")</f>
        <v xml:space="preserve">http://slimages.macys.com/is/image/MCY/18974083 </v>
      </c>
    </row>
    <row r="116" spans="1:11" ht="20.100000000000001" customHeight="1" x14ac:dyDescent="0.25">
      <c r="A116" s="12" t="s">
        <v>1362</v>
      </c>
      <c r="B116" s="13">
        <v>13571386</v>
      </c>
      <c r="C116" s="8">
        <v>628961003672</v>
      </c>
      <c r="D116" s="6" t="s">
        <v>1268</v>
      </c>
      <c r="E116" s="18">
        <v>1</v>
      </c>
      <c r="F116" s="14">
        <v>99.99</v>
      </c>
      <c r="G116" s="14">
        <v>99.99</v>
      </c>
      <c r="H116" s="7" t="s">
        <v>976</v>
      </c>
      <c r="I116" s="7" t="s">
        <v>939</v>
      </c>
      <c r="J116" s="7" t="s">
        <v>1150</v>
      </c>
      <c r="K116" s="7" t="str">
        <f>HYPERLINK("http://slimages.macys.com/is/image/MCY/18974083 ")</f>
        <v xml:space="preserve">http://slimages.macys.com/is/image/MCY/18974083 </v>
      </c>
    </row>
    <row r="117" spans="1:11" ht="20.100000000000001" customHeight="1" x14ac:dyDescent="0.25">
      <c r="A117" s="12" t="s">
        <v>1362</v>
      </c>
      <c r="B117" s="13">
        <v>13571386</v>
      </c>
      <c r="C117" s="8">
        <v>628961004174</v>
      </c>
      <c r="D117" s="6" t="s">
        <v>1548</v>
      </c>
      <c r="E117" s="18">
        <v>1</v>
      </c>
      <c r="F117" s="14">
        <v>169.99</v>
      </c>
      <c r="G117" s="14">
        <v>169.99</v>
      </c>
      <c r="H117" s="7" t="s">
        <v>941</v>
      </c>
      <c r="I117" s="7" t="s">
        <v>939</v>
      </c>
      <c r="J117" s="7" t="s">
        <v>1150</v>
      </c>
      <c r="K117" s="7" t="str">
        <f>HYPERLINK("http://slimages.macys.com/is/image/MCY/19089033 ")</f>
        <v xml:space="preserve">http://slimages.macys.com/is/image/MCY/19089033 </v>
      </c>
    </row>
    <row r="118" spans="1:11" ht="20.100000000000001" customHeight="1" x14ac:dyDescent="0.25">
      <c r="A118" s="12" t="s">
        <v>1362</v>
      </c>
      <c r="B118" s="13">
        <v>13571386</v>
      </c>
      <c r="C118" s="8">
        <v>635983499598</v>
      </c>
      <c r="D118" s="6" t="s">
        <v>978</v>
      </c>
      <c r="E118" s="18">
        <v>1</v>
      </c>
      <c r="F118" s="14">
        <v>65.989999999999995</v>
      </c>
      <c r="G118" s="14">
        <v>65.989999999999995</v>
      </c>
      <c r="H118" s="7" t="s">
        <v>941</v>
      </c>
      <c r="I118" s="7" t="s">
        <v>942</v>
      </c>
      <c r="J118" s="7" t="s">
        <v>943</v>
      </c>
      <c r="K118" s="7" t="str">
        <f>HYPERLINK("http://slimages.macys.com/is/image/MCY/11798186 ")</f>
        <v xml:space="preserve">http://slimages.macys.com/is/image/MCY/11798186 </v>
      </c>
    </row>
    <row r="119" spans="1:11" ht="20.100000000000001" customHeight="1" x14ac:dyDescent="0.25">
      <c r="A119" s="12" t="s">
        <v>1362</v>
      </c>
      <c r="B119" s="13">
        <v>13571386</v>
      </c>
      <c r="C119" s="8">
        <v>635983501673</v>
      </c>
      <c r="D119" s="6" t="s">
        <v>1549</v>
      </c>
      <c r="E119" s="18">
        <v>1</v>
      </c>
      <c r="F119" s="14">
        <v>201.99</v>
      </c>
      <c r="G119" s="14">
        <v>201.99</v>
      </c>
      <c r="H119" s="7" t="s">
        <v>941</v>
      </c>
      <c r="I119" s="7" t="s">
        <v>942</v>
      </c>
      <c r="J119" s="7" t="s">
        <v>943</v>
      </c>
      <c r="K119" s="7" t="str">
        <f>HYPERLINK("http://slimages.macys.com/is/image/MCY/11798330 ")</f>
        <v xml:space="preserve">http://slimages.macys.com/is/image/MCY/11798330 </v>
      </c>
    </row>
    <row r="120" spans="1:11" ht="20.100000000000001" customHeight="1" x14ac:dyDescent="0.25">
      <c r="A120" s="12" t="s">
        <v>1362</v>
      </c>
      <c r="B120" s="13">
        <v>13571386</v>
      </c>
      <c r="C120" s="8">
        <v>635983501697</v>
      </c>
      <c r="D120" s="6" t="s">
        <v>1550</v>
      </c>
      <c r="E120" s="18">
        <v>1</v>
      </c>
      <c r="F120" s="14">
        <v>258.99</v>
      </c>
      <c r="G120" s="14">
        <v>258.99</v>
      </c>
      <c r="H120" s="7" t="s">
        <v>941</v>
      </c>
      <c r="I120" s="7" t="s">
        <v>942</v>
      </c>
      <c r="J120" s="7" t="s">
        <v>943</v>
      </c>
      <c r="K120" s="7" t="str">
        <f>HYPERLINK("http://slimages.macys.com/is/image/MCY/11798338 ")</f>
        <v xml:space="preserve">http://slimages.macys.com/is/image/MCY/11798338 </v>
      </c>
    </row>
    <row r="121" spans="1:11" ht="20.100000000000001" customHeight="1" x14ac:dyDescent="0.25">
      <c r="A121" s="12" t="s">
        <v>1362</v>
      </c>
      <c r="B121" s="13">
        <v>13571386</v>
      </c>
      <c r="C121" s="8">
        <v>636189943946</v>
      </c>
      <c r="D121" s="6" t="s">
        <v>1551</v>
      </c>
      <c r="E121" s="18">
        <v>1</v>
      </c>
      <c r="F121" s="14">
        <v>29.99</v>
      </c>
      <c r="G121" s="14">
        <v>29.99</v>
      </c>
      <c r="H121" s="7" t="s">
        <v>981</v>
      </c>
      <c r="I121" s="7" t="s">
        <v>971</v>
      </c>
      <c r="J121" s="7" t="s">
        <v>972</v>
      </c>
      <c r="K121" s="7" t="str">
        <f>HYPERLINK("http://slimages.macys.com/is/image/MCY/13285480 ")</f>
        <v xml:space="preserve">http://slimages.macys.com/is/image/MCY/13285480 </v>
      </c>
    </row>
    <row r="122" spans="1:11" ht="20.100000000000001" customHeight="1" x14ac:dyDescent="0.25">
      <c r="A122" s="12" t="s">
        <v>1362</v>
      </c>
      <c r="B122" s="13">
        <v>13571386</v>
      </c>
      <c r="C122" s="8">
        <v>636202045428</v>
      </c>
      <c r="D122" s="6" t="s">
        <v>1226</v>
      </c>
      <c r="E122" s="18">
        <v>4</v>
      </c>
      <c r="F122" s="14">
        <v>24.99</v>
      </c>
      <c r="G122" s="14">
        <v>99.96</v>
      </c>
      <c r="H122" s="7" t="s">
        <v>981</v>
      </c>
      <c r="I122" s="7" t="s">
        <v>971</v>
      </c>
      <c r="J122" s="7" t="s">
        <v>972</v>
      </c>
      <c r="K122" s="7" t="str">
        <f>HYPERLINK("http://slimages.macys.com/is/image/MCY/14322102 ")</f>
        <v xml:space="preserve">http://slimages.macys.com/is/image/MCY/14322102 </v>
      </c>
    </row>
    <row r="123" spans="1:11" ht="20.100000000000001" customHeight="1" x14ac:dyDescent="0.25">
      <c r="A123" s="12" t="s">
        <v>1362</v>
      </c>
      <c r="B123" s="13">
        <v>13571386</v>
      </c>
      <c r="C123" s="8">
        <v>636202045466</v>
      </c>
      <c r="D123" s="6" t="s">
        <v>1552</v>
      </c>
      <c r="E123" s="18">
        <v>3</v>
      </c>
      <c r="F123" s="14">
        <v>49.99</v>
      </c>
      <c r="G123" s="14">
        <v>149.97</v>
      </c>
      <c r="H123" s="7" t="s">
        <v>981</v>
      </c>
      <c r="I123" s="7" t="s">
        <v>971</v>
      </c>
      <c r="J123" s="7" t="s">
        <v>972</v>
      </c>
      <c r="K123" s="7" t="str">
        <f>HYPERLINK("http://slimages.macys.com/is/image/MCY/15098992 ")</f>
        <v xml:space="preserve">http://slimages.macys.com/is/image/MCY/15098992 </v>
      </c>
    </row>
    <row r="124" spans="1:11" ht="20.100000000000001" customHeight="1" x14ac:dyDescent="0.25">
      <c r="A124" s="12" t="s">
        <v>1362</v>
      </c>
      <c r="B124" s="13">
        <v>13571386</v>
      </c>
      <c r="C124" s="8">
        <v>636202045572</v>
      </c>
      <c r="D124" s="6" t="s">
        <v>1553</v>
      </c>
      <c r="E124" s="18">
        <v>2</v>
      </c>
      <c r="F124" s="14">
        <v>12.99</v>
      </c>
      <c r="G124" s="14">
        <v>25.98</v>
      </c>
      <c r="H124" s="7" t="s">
        <v>1048</v>
      </c>
      <c r="I124" s="7" t="s">
        <v>971</v>
      </c>
      <c r="J124" s="7" t="s">
        <v>972</v>
      </c>
      <c r="K124" s="7" t="str">
        <f>HYPERLINK("http://slimages.macys.com/is/image/MCY/14322106 ")</f>
        <v xml:space="preserve">http://slimages.macys.com/is/image/MCY/14322106 </v>
      </c>
    </row>
    <row r="125" spans="1:11" ht="20.100000000000001" customHeight="1" x14ac:dyDescent="0.25">
      <c r="A125" s="12" t="s">
        <v>1362</v>
      </c>
      <c r="B125" s="13">
        <v>13571386</v>
      </c>
      <c r="C125" s="8">
        <v>636202612057</v>
      </c>
      <c r="D125" s="6" t="s">
        <v>1554</v>
      </c>
      <c r="E125" s="18">
        <v>1</v>
      </c>
      <c r="F125" s="14">
        <v>179.99</v>
      </c>
      <c r="G125" s="14">
        <v>179.99</v>
      </c>
      <c r="H125" s="7" t="s">
        <v>981</v>
      </c>
      <c r="I125" s="7" t="s">
        <v>956</v>
      </c>
      <c r="J125" s="7" t="s">
        <v>957</v>
      </c>
      <c r="K125" s="7" t="str">
        <f>HYPERLINK("http://slimages.macys.com/is/image/MCY/3573212 ")</f>
        <v xml:space="preserve">http://slimages.macys.com/is/image/MCY/3573212 </v>
      </c>
    </row>
    <row r="126" spans="1:11" ht="20.100000000000001" customHeight="1" x14ac:dyDescent="0.25">
      <c r="A126" s="12" t="s">
        <v>1362</v>
      </c>
      <c r="B126" s="13">
        <v>13571386</v>
      </c>
      <c r="C126" s="8">
        <v>651896652059</v>
      </c>
      <c r="D126" s="6" t="s">
        <v>1310</v>
      </c>
      <c r="E126" s="18">
        <v>3</v>
      </c>
      <c r="F126" s="14">
        <v>9.99</v>
      </c>
      <c r="G126" s="14">
        <v>29.97</v>
      </c>
      <c r="H126" s="7" t="s">
        <v>950</v>
      </c>
      <c r="I126" s="7" t="s">
        <v>947</v>
      </c>
      <c r="J126" s="7" t="s">
        <v>1248</v>
      </c>
      <c r="K126" s="7" t="str">
        <f>HYPERLINK("http://slimages.macys.com/is/image/MCY/18614219 ")</f>
        <v xml:space="preserve">http://slimages.macys.com/is/image/MCY/18614219 </v>
      </c>
    </row>
    <row r="127" spans="1:11" ht="20.100000000000001" customHeight="1" x14ac:dyDescent="0.25">
      <c r="A127" s="12" t="s">
        <v>1362</v>
      </c>
      <c r="B127" s="13">
        <v>13571386</v>
      </c>
      <c r="C127" s="8">
        <v>651896652059</v>
      </c>
      <c r="D127" s="6" t="s">
        <v>1310</v>
      </c>
      <c r="E127" s="18">
        <v>1</v>
      </c>
      <c r="F127" s="14">
        <v>9.99</v>
      </c>
      <c r="G127" s="14">
        <v>9.99</v>
      </c>
      <c r="H127" s="7" t="s">
        <v>950</v>
      </c>
      <c r="I127" s="7" t="s">
        <v>947</v>
      </c>
      <c r="J127" s="7" t="s">
        <v>1248</v>
      </c>
      <c r="K127" s="7" t="str">
        <f>HYPERLINK("http://slimages.macys.com/is/image/MCY/18614219 ")</f>
        <v xml:space="preserve">http://slimages.macys.com/is/image/MCY/18614219 </v>
      </c>
    </row>
    <row r="128" spans="1:11" ht="20.100000000000001" customHeight="1" x14ac:dyDescent="0.25">
      <c r="A128" s="12" t="s">
        <v>1362</v>
      </c>
      <c r="B128" s="13">
        <v>13571386</v>
      </c>
      <c r="C128" s="8">
        <v>651896652134</v>
      </c>
      <c r="D128" s="6" t="s">
        <v>1555</v>
      </c>
      <c r="E128" s="18">
        <v>1</v>
      </c>
      <c r="F128" s="14">
        <v>19.989999999999998</v>
      </c>
      <c r="G128" s="14">
        <v>19.989999999999998</v>
      </c>
      <c r="H128" s="7" t="s">
        <v>944</v>
      </c>
      <c r="I128" s="7" t="s">
        <v>947</v>
      </c>
      <c r="J128" s="7" t="s">
        <v>1248</v>
      </c>
      <c r="K128" s="7" t="str">
        <f>HYPERLINK("http://slimages.macys.com/is/image/MCY/18772650 ")</f>
        <v xml:space="preserve">http://slimages.macys.com/is/image/MCY/18772650 </v>
      </c>
    </row>
    <row r="129" spans="1:11" ht="20.100000000000001" customHeight="1" x14ac:dyDescent="0.25">
      <c r="A129" s="12" t="s">
        <v>1362</v>
      </c>
      <c r="B129" s="13">
        <v>13571386</v>
      </c>
      <c r="C129" s="8">
        <v>651896652226</v>
      </c>
      <c r="D129" s="6" t="s">
        <v>1265</v>
      </c>
      <c r="E129" s="18">
        <v>3</v>
      </c>
      <c r="F129" s="14">
        <v>24.99</v>
      </c>
      <c r="G129" s="14">
        <v>74.97</v>
      </c>
      <c r="H129" s="7" t="s">
        <v>1068</v>
      </c>
      <c r="I129" s="7" t="s">
        <v>947</v>
      </c>
      <c r="J129" s="7" t="s">
        <v>1248</v>
      </c>
      <c r="K129" s="7" t="str">
        <f>HYPERLINK("http://slimages.macys.com/is/image/MCY/18772611 ")</f>
        <v xml:space="preserve">http://slimages.macys.com/is/image/MCY/18772611 </v>
      </c>
    </row>
    <row r="130" spans="1:11" ht="20.100000000000001" customHeight="1" x14ac:dyDescent="0.25">
      <c r="A130" s="12" t="s">
        <v>1362</v>
      </c>
      <c r="B130" s="13">
        <v>13571386</v>
      </c>
      <c r="C130" s="8">
        <v>655385094757</v>
      </c>
      <c r="D130" s="6" t="s">
        <v>1556</v>
      </c>
      <c r="E130" s="18">
        <v>2</v>
      </c>
      <c r="F130" s="14">
        <v>49.99</v>
      </c>
      <c r="G130" s="14">
        <v>99.98</v>
      </c>
      <c r="H130" s="7" t="s">
        <v>941</v>
      </c>
      <c r="I130" s="7" t="s">
        <v>939</v>
      </c>
      <c r="J130" s="7" t="s">
        <v>964</v>
      </c>
      <c r="K130" s="7" t="str">
        <f>HYPERLINK("http://slimages.macys.com/is/image/MCY/12157132 ")</f>
        <v xml:space="preserve">http://slimages.macys.com/is/image/MCY/12157132 </v>
      </c>
    </row>
    <row r="131" spans="1:11" ht="20.100000000000001" customHeight="1" x14ac:dyDescent="0.25">
      <c r="A131" s="12" t="s">
        <v>1362</v>
      </c>
      <c r="B131" s="13">
        <v>13571386</v>
      </c>
      <c r="C131" s="8">
        <v>655385142168</v>
      </c>
      <c r="D131" s="6" t="s">
        <v>1557</v>
      </c>
      <c r="E131" s="18">
        <v>1</v>
      </c>
      <c r="F131" s="14">
        <v>52.99</v>
      </c>
      <c r="G131" s="14">
        <v>52.99</v>
      </c>
      <c r="H131" s="7" t="s">
        <v>987</v>
      </c>
      <c r="I131" s="7" t="s">
        <v>1017</v>
      </c>
      <c r="J131" s="7" t="s">
        <v>964</v>
      </c>
      <c r="K131" s="7" t="str">
        <f>HYPERLINK("http://slimages.macys.com/is/image/MCY/11940472 ")</f>
        <v xml:space="preserve">http://slimages.macys.com/is/image/MCY/11940472 </v>
      </c>
    </row>
    <row r="132" spans="1:11" ht="20.100000000000001" customHeight="1" x14ac:dyDescent="0.25">
      <c r="A132" s="12" t="s">
        <v>1362</v>
      </c>
      <c r="B132" s="13">
        <v>13571386</v>
      </c>
      <c r="C132" s="8">
        <v>655385158442</v>
      </c>
      <c r="D132" s="6" t="s">
        <v>1211</v>
      </c>
      <c r="E132" s="18">
        <v>1</v>
      </c>
      <c r="F132" s="14">
        <v>27.99</v>
      </c>
      <c r="G132" s="14">
        <v>27.99</v>
      </c>
      <c r="H132" s="7" t="s">
        <v>1026</v>
      </c>
      <c r="I132" s="7" t="s">
        <v>939</v>
      </c>
      <c r="J132" s="7" t="s">
        <v>964</v>
      </c>
      <c r="K132" s="7" t="str">
        <f>HYPERLINK("http://slimages.macys.com/is/image/MCY/10042682 ")</f>
        <v xml:space="preserve">http://slimages.macys.com/is/image/MCY/10042682 </v>
      </c>
    </row>
    <row r="133" spans="1:11" ht="20.100000000000001" customHeight="1" x14ac:dyDescent="0.25">
      <c r="A133" s="12" t="s">
        <v>1362</v>
      </c>
      <c r="B133" s="13">
        <v>13571386</v>
      </c>
      <c r="C133" s="8">
        <v>655385221528</v>
      </c>
      <c r="D133" s="6" t="s">
        <v>1558</v>
      </c>
      <c r="E133" s="18">
        <v>1</v>
      </c>
      <c r="F133" s="14">
        <v>25.99</v>
      </c>
      <c r="G133" s="14">
        <v>25.99</v>
      </c>
      <c r="H133" s="7" t="s">
        <v>1466</v>
      </c>
      <c r="I133" s="7" t="s">
        <v>939</v>
      </c>
      <c r="J133" s="7" t="s">
        <v>964</v>
      </c>
      <c r="K133" s="7" t="str">
        <f>HYPERLINK("http://slimages.macys.com/is/image/MCY/12157292 ")</f>
        <v xml:space="preserve">http://slimages.macys.com/is/image/MCY/12157292 </v>
      </c>
    </row>
    <row r="134" spans="1:11" ht="20.100000000000001" customHeight="1" x14ac:dyDescent="0.25">
      <c r="A134" s="12" t="s">
        <v>1362</v>
      </c>
      <c r="B134" s="13">
        <v>13571386</v>
      </c>
      <c r="C134" s="8">
        <v>655385231381</v>
      </c>
      <c r="D134" s="6" t="s">
        <v>1559</v>
      </c>
      <c r="E134" s="18">
        <v>1</v>
      </c>
      <c r="F134" s="14">
        <v>60.99</v>
      </c>
      <c r="G134" s="14">
        <v>60.99</v>
      </c>
      <c r="H134" s="7" t="s">
        <v>968</v>
      </c>
      <c r="I134" s="7" t="s">
        <v>939</v>
      </c>
      <c r="J134" s="7" t="s">
        <v>964</v>
      </c>
      <c r="K134" s="7" t="str">
        <f>HYPERLINK("http://slimages.macys.com/is/image/MCY/13300640 ")</f>
        <v xml:space="preserve">http://slimages.macys.com/is/image/MCY/13300640 </v>
      </c>
    </row>
    <row r="135" spans="1:11" ht="20.100000000000001" customHeight="1" x14ac:dyDescent="0.25">
      <c r="A135" s="12" t="s">
        <v>1362</v>
      </c>
      <c r="B135" s="13">
        <v>13571386</v>
      </c>
      <c r="C135" s="8">
        <v>655385942669</v>
      </c>
      <c r="D135" s="6" t="s">
        <v>1560</v>
      </c>
      <c r="E135" s="18">
        <v>1</v>
      </c>
      <c r="F135" s="14">
        <v>25.99</v>
      </c>
      <c r="G135" s="14">
        <v>25.99</v>
      </c>
      <c r="H135" s="7" t="s">
        <v>1074</v>
      </c>
      <c r="I135" s="7" t="s">
        <v>939</v>
      </c>
      <c r="J135" s="7" t="s">
        <v>964</v>
      </c>
      <c r="K135" s="7" t="str">
        <f>HYPERLINK("http://slimages.macys.com/is/image/MCY/12846915 ")</f>
        <v xml:space="preserve">http://slimages.macys.com/is/image/MCY/12846915 </v>
      </c>
    </row>
    <row r="136" spans="1:11" ht="20.100000000000001" customHeight="1" x14ac:dyDescent="0.25">
      <c r="A136" s="12" t="s">
        <v>1362</v>
      </c>
      <c r="B136" s="13">
        <v>13571386</v>
      </c>
      <c r="C136" s="8">
        <v>671826986412</v>
      </c>
      <c r="D136" s="6" t="s">
        <v>1561</v>
      </c>
      <c r="E136" s="18">
        <v>1</v>
      </c>
      <c r="F136" s="14">
        <v>642.99</v>
      </c>
      <c r="G136" s="14">
        <v>642.99</v>
      </c>
      <c r="H136" s="7" t="s">
        <v>938</v>
      </c>
      <c r="I136" s="7" t="s">
        <v>945</v>
      </c>
      <c r="J136" s="7" t="s">
        <v>1112</v>
      </c>
      <c r="K136" s="7" t="str">
        <f>HYPERLINK("http://slimages.macys.com/is/image/MCY/12471895 ")</f>
        <v xml:space="preserve">http://slimages.macys.com/is/image/MCY/12471895 </v>
      </c>
    </row>
    <row r="137" spans="1:11" ht="20.100000000000001" customHeight="1" x14ac:dyDescent="0.25">
      <c r="A137" s="12" t="s">
        <v>1362</v>
      </c>
      <c r="B137" s="13">
        <v>13571386</v>
      </c>
      <c r="C137" s="8">
        <v>675716546779</v>
      </c>
      <c r="D137" s="6" t="s">
        <v>1167</v>
      </c>
      <c r="E137" s="18">
        <v>1</v>
      </c>
      <c r="F137" s="14">
        <v>77.989999999999995</v>
      </c>
      <c r="G137" s="14">
        <v>77.989999999999995</v>
      </c>
      <c r="H137" s="7" t="s">
        <v>952</v>
      </c>
      <c r="I137" s="7" t="s">
        <v>947</v>
      </c>
      <c r="J137" s="7" t="s">
        <v>955</v>
      </c>
      <c r="K137" s="7" t="str">
        <f>HYPERLINK("http://slimages.macys.com/is/image/MCY/12056510 ")</f>
        <v xml:space="preserve">http://slimages.macys.com/is/image/MCY/12056510 </v>
      </c>
    </row>
    <row r="138" spans="1:11" ht="20.100000000000001" customHeight="1" x14ac:dyDescent="0.25">
      <c r="A138" s="12" t="s">
        <v>1362</v>
      </c>
      <c r="B138" s="13">
        <v>13571386</v>
      </c>
      <c r="C138" s="8">
        <v>675716546786</v>
      </c>
      <c r="D138" s="6" t="s">
        <v>1562</v>
      </c>
      <c r="E138" s="18">
        <v>1</v>
      </c>
      <c r="F138" s="14">
        <v>77.989999999999995</v>
      </c>
      <c r="G138" s="14">
        <v>77.989999999999995</v>
      </c>
      <c r="H138" s="7" t="s">
        <v>941</v>
      </c>
      <c r="I138" s="7" t="s">
        <v>947</v>
      </c>
      <c r="J138" s="7" t="s">
        <v>955</v>
      </c>
      <c r="K138" s="7" t="str">
        <f>HYPERLINK("http://slimages.macys.com/is/image/MCY/12056510 ")</f>
        <v xml:space="preserve">http://slimages.macys.com/is/image/MCY/12056510 </v>
      </c>
    </row>
    <row r="139" spans="1:11" ht="20.100000000000001" customHeight="1" x14ac:dyDescent="0.25">
      <c r="A139" s="12" t="s">
        <v>1362</v>
      </c>
      <c r="B139" s="13">
        <v>13571386</v>
      </c>
      <c r="C139" s="8">
        <v>675716577698</v>
      </c>
      <c r="D139" s="6" t="s">
        <v>1563</v>
      </c>
      <c r="E139" s="18">
        <v>3</v>
      </c>
      <c r="F139" s="14">
        <v>129.99</v>
      </c>
      <c r="G139" s="14">
        <v>389.97</v>
      </c>
      <c r="H139" s="7" t="s">
        <v>950</v>
      </c>
      <c r="I139" s="7" t="s">
        <v>945</v>
      </c>
      <c r="J139" s="7" t="s">
        <v>955</v>
      </c>
      <c r="K139" s="7" t="str">
        <f>HYPERLINK("http://slimages.macys.com/is/image/MCY/8931970 ")</f>
        <v xml:space="preserve">http://slimages.macys.com/is/image/MCY/8931970 </v>
      </c>
    </row>
    <row r="140" spans="1:11" ht="20.100000000000001" customHeight="1" x14ac:dyDescent="0.25">
      <c r="A140" s="12" t="s">
        <v>1362</v>
      </c>
      <c r="B140" s="13">
        <v>13571386</v>
      </c>
      <c r="C140" s="8">
        <v>675716669874</v>
      </c>
      <c r="D140" s="6" t="s">
        <v>1564</v>
      </c>
      <c r="E140" s="18">
        <v>1</v>
      </c>
      <c r="F140" s="14">
        <v>34.99</v>
      </c>
      <c r="G140" s="14">
        <v>34.99</v>
      </c>
      <c r="H140" s="7" t="s">
        <v>1026</v>
      </c>
      <c r="I140" s="7" t="s">
        <v>947</v>
      </c>
      <c r="J140" s="7" t="s">
        <v>955</v>
      </c>
      <c r="K140" s="7" t="str">
        <f>HYPERLINK("http://slimages.macys.com/is/image/MCY/16421124 ")</f>
        <v xml:space="preserve">http://slimages.macys.com/is/image/MCY/16421124 </v>
      </c>
    </row>
    <row r="141" spans="1:11" ht="20.100000000000001" customHeight="1" x14ac:dyDescent="0.25">
      <c r="A141" s="12" t="s">
        <v>1362</v>
      </c>
      <c r="B141" s="13">
        <v>13571386</v>
      </c>
      <c r="C141" s="8">
        <v>675716674885</v>
      </c>
      <c r="D141" s="6" t="s">
        <v>1565</v>
      </c>
      <c r="E141" s="18">
        <v>1</v>
      </c>
      <c r="F141" s="14">
        <v>55.99</v>
      </c>
      <c r="G141" s="14">
        <v>55.99</v>
      </c>
      <c r="H141" s="7" t="s">
        <v>968</v>
      </c>
      <c r="I141" s="7" t="s">
        <v>947</v>
      </c>
      <c r="J141" s="7" t="s">
        <v>955</v>
      </c>
      <c r="K141" s="7" t="str">
        <f>HYPERLINK("http://slimages.macys.com/is/image/MCY/9775066 ")</f>
        <v xml:space="preserve">http://slimages.macys.com/is/image/MCY/9775066 </v>
      </c>
    </row>
    <row r="142" spans="1:11" ht="20.100000000000001" customHeight="1" x14ac:dyDescent="0.25">
      <c r="A142" s="12" t="s">
        <v>1362</v>
      </c>
      <c r="B142" s="13">
        <v>13571386</v>
      </c>
      <c r="C142" s="8">
        <v>675716702908</v>
      </c>
      <c r="D142" s="6" t="s">
        <v>1566</v>
      </c>
      <c r="E142" s="18">
        <v>1</v>
      </c>
      <c r="F142" s="14">
        <v>134.99</v>
      </c>
      <c r="G142" s="14">
        <v>134.99</v>
      </c>
      <c r="H142" s="7" t="s">
        <v>984</v>
      </c>
      <c r="I142" s="7" t="s">
        <v>945</v>
      </c>
      <c r="J142" s="7" t="s">
        <v>955</v>
      </c>
      <c r="K142" s="7" t="str">
        <f>HYPERLINK("http://slimages.macys.com/is/image/MCY/8932066 ")</f>
        <v xml:space="preserve">http://slimages.macys.com/is/image/MCY/8932066 </v>
      </c>
    </row>
    <row r="143" spans="1:11" ht="20.100000000000001" customHeight="1" x14ac:dyDescent="0.25">
      <c r="A143" s="12" t="s">
        <v>1362</v>
      </c>
      <c r="B143" s="13">
        <v>13571386</v>
      </c>
      <c r="C143" s="8">
        <v>675716708320</v>
      </c>
      <c r="D143" s="6" t="s">
        <v>1567</v>
      </c>
      <c r="E143" s="18">
        <v>5</v>
      </c>
      <c r="F143" s="14">
        <v>36.99</v>
      </c>
      <c r="G143" s="14">
        <v>184.95</v>
      </c>
      <c r="H143" s="7" t="s">
        <v>941</v>
      </c>
      <c r="I143" s="7" t="s">
        <v>947</v>
      </c>
      <c r="J143" s="7" t="s">
        <v>955</v>
      </c>
      <c r="K143" s="7" t="str">
        <f>HYPERLINK("http://slimages.macys.com/is/image/MCY/8152741 ")</f>
        <v xml:space="preserve">http://slimages.macys.com/is/image/MCY/8152741 </v>
      </c>
    </row>
    <row r="144" spans="1:11" ht="20.100000000000001" customHeight="1" x14ac:dyDescent="0.25">
      <c r="A144" s="12" t="s">
        <v>1362</v>
      </c>
      <c r="B144" s="13">
        <v>13571386</v>
      </c>
      <c r="C144" s="8">
        <v>675716772567</v>
      </c>
      <c r="D144" s="6" t="s">
        <v>1568</v>
      </c>
      <c r="E144" s="18">
        <v>1</v>
      </c>
      <c r="F144" s="14">
        <v>19.989999999999998</v>
      </c>
      <c r="G144" s="14">
        <v>19.989999999999998</v>
      </c>
      <c r="H144" s="7" t="s">
        <v>952</v>
      </c>
      <c r="I144" s="7" t="s">
        <v>947</v>
      </c>
      <c r="J144" s="7" t="s">
        <v>955</v>
      </c>
      <c r="K144" s="7" t="str">
        <f>HYPERLINK("http://slimages.macys.com/is/image/MCY/9613896 ")</f>
        <v xml:space="preserve">http://slimages.macys.com/is/image/MCY/9613896 </v>
      </c>
    </row>
    <row r="145" spans="1:11" ht="20.100000000000001" customHeight="1" x14ac:dyDescent="0.25">
      <c r="A145" s="12" t="s">
        <v>1362</v>
      </c>
      <c r="B145" s="13">
        <v>13571386</v>
      </c>
      <c r="C145" s="8">
        <v>675716772567</v>
      </c>
      <c r="D145" s="6" t="s">
        <v>1568</v>
      </c>
      <c r="E145" s="18">
        <v>1</v>
      </c>
      <c r="F145" s="14">
        <v>19.989999999999998</v>
      </c>
      <c r="G145" s="14">
        <v>19.989999999999998</v>
      </c>
      <c r="H145" s="7" t="s">
        <v>952</v>
      </c>
      <c r="I145" s="7" t="s">
        <v>947</v>
      </c>
      <c r="J145" s="7" t="s">
        <v>955</v>
      </c>
      <c r="K145" s="7" t="str">
        <f>HYPERLINK("http://slimages.macys.com/is/image/MCY/9613896 ")</f>
        <v xml:space="preserve">http://slimages.macys.com/is/image/MCY/9613896 </v>
      </c>
    </row>
    <row r="146" spans="1:11" ht="20.100000000000001" customHeight="1" x14ac:dyDescent="0.25">
      <c r="A146" s="12" t="s">
        <v>1362</v>
      </c>
      <c r="B146" s="13">
        <v>13571386</v>
      </c>
      <c r="C146" s="8">
        <v>675716845254</v>
      </c>
      <c r="D146" s="6" t="s">
        <v>1569</v>
      </c>
      <c r="E146" s="18">
        <v>1</v>
      </c>
      <c r="F146" s="14">
        <v>69.989999999999995</v>
      </c>
      <c r="G146" s="14">
        <v>69.989999999999995</v>
      </c>
      <c r="H146" s="7" t="s">
        <v>944</v>
      </c>
      <c r="I146" s="7" t="s">
        <v>1017</v>
      </c>
      <c r="J146" s="7" t="s">
        <v>955</v>
      </c>
      <c r="K146" s="7" t="str">
        <f>HYPERLINK("http://slimages.macys.com/is/image/MCY/15734984 ")</f>
        <v xml:space="preserve">http://slimages.macys.com/is/image/MCY/15734984 </v>
      </c>
    </row>
    <row r="147" spans="1:11" ht="20.100000000000001" customHeight="1" x14ac:dyDescent="0.25">
      <c r="A147" s="12" t="s">
        <v>1362</v>
      </c>
      <c r="B147" s="13">
        <v>13571386</v>
      </c>
      <c r="C147" s="8">
        <v>675716980887</v>
      </c>
      <c r="D147" s="6" t="s">
        <v>1570</v>
      </c>
      <c r="E147" s="18">
        <v>1</v>
      </c>
      <c r="F147" s="14">
        <v>88.99</v>
      </c>
      <c r="G147" s="14">
        <v>88.99</v>
      </c>
      <c r="H147" s="7" t="s">
        <v>944</v>
      </c>
      <c r="I147" s="7" t="s">
        <v>947</v>
      </c>
      <c r="J147" s="7" t="s">
        <v>955</v>
      </c>
      <c r="K147" s="7" t="str">
        <f>HYPERLINK("http://slimages.macys.com/is/image/MCY/9953853 ")</f>
        <v xml:space="preserve">http://slimages.macys.com/is/image/MCY/9953853 </v>
      </c>
    </row>
    <row r="148" spans="1:11" ht="20.100000000000001" customHeight="1" x14ac:dyDescent="0.25">
      <c r="A148" s="12" t="s">
        <v>1362</v>
      </c>
      <c r="B148" s="13">
        <v>13571386</v>
      </c>
      <c r="C148" s="8">
        <v>679610808360</v>
      </c>
      <c r="D148" s="6" t="s">
        <v>1065</v>
      </c>
      <c r="E148" s="18">
        <v>1</v>
      </c>
      <c r="F148" s="14">
        <v>179.99</v>
      </c>
      <c r="G148" s="14">
        <v>179.99</v>
      </c>
      <c r="H148" s="7" t="s">
        <v>1030</v>
      </c>
      <c r="I148" s="7" t="s">
        <v>945</v>
      </c>
      <c r="J148" s="7" t="s">
        <v>1055</v>
      </c>
      <c r="K148" s="7" t="str">
        <f>HYPERLINK("http://slimages.macys.com/is/image/MCY/14826453 ")</f>
        <v xml:space="preserve">http://slimages.macys.com/is/image/MCY/14826453 </v>
      </c>
    </row>
    <row r="149" spans="1:11" ht="20.100000000000001" customHeight="1" x14ac:dyDescent="0.25">
      <c r="A149" s="12" t="s">
        <v>1362</v>
      </c>
      <c r="B149" s="13">
        <v>13571386</v>
      </c>
      <c r="C149" s="8">
        <v>679610834383</v>
      </c>
      <c r="D149" s="6" t="s">
        <v>1571</v>
      </c>
      <c r="E149" s="18">
        <v>1</v>
      </c>
      <c r="F149" s="14">
        <v>49.99</v>
      </c>
      <c r="G149" s="14">
        <v>49.99</v>
      </c>
      <c r="H149" s="7" t="s">
        <v>985</v>
      </c>
      <c r="I149" s="7" t="s">
        <v>945</v>
      </c>
      <c r="J149" s="7" t="s">
        <v>1055</v>
      </c>
      <c r="K149" s="7" t="str">
        <f>HYPERLINK("http://slimages.macys.com/is/image/MCY/18742791 ")</f>
        <v xml:space="preserve">http://slimages.macys.com/is/image/MCY/18742791 </v>
      </c>
    </row>
    <row r="150" spans="1:11" ht="20.100000000000001" customHeight="1" x14ac:dyDescent="0.25">
      <c r="A150" s="12" t="s">
        <v>1362</v>
      </c>
      <c r="B150" s="13">
        <v>13571386</v>
      </c>
      <c r="C150" s="8">
        <v>679610834598</v>
      </c>
      <c r="D150" s="6" t="s">
        <v>1572</v>
      </c>
      <c r="E150" s="18">
        <v>1</v>
      </c>
      <c r="F150" s="14">
        <v>179.99</v>
      </c>
      <c r="G150" s="14">
        <v>179.99</v>
      </c>
      <c r="H150" s="7" t="s">
        <v>1025</v>
      </c>
      <c r="I150" s="7" t="s">
        <v>945</v>
      </c>
      <c r="J150" s="7" t="s">
        <v>1055</v>
      </c>
      <c r="K150" s="7" t="str">
        <f>HYPERLINK("http://slimages.macys.com/is/image/MCY/18728522 ")</f>
        <v xml:space="preserve">http://slimages.macys.com/is/image/MCY/18728522 </v>
      </c>
    </row>
    <row r="151" spans="1:11" ht="20.100000000000001" customHeight="1" x14ac:dyDescent="0.25">
      <c r="A151" s="12" t="s">
        <v>1362</v>
      </c>
      <c r="B151" s="13">
        <v>13571386</v>
      </c>
      <c r="C151" s="8">
        <v>679610834796</v>
      </c>
      <c r="D151" s="6" t="s">
        <v>1573</v>
      </c>
      <c r="E151" s="18">
        <v>1</v>
      </c>
      <c r="F151" s="14">
        <v>59.99</v>
      </c>
      <c r="G151" s="14">
        <v>59.99</v>
      </c>
      <c r="H151" s="7" t="s">
        <v>976</v>
      </c>
      <c r="I151" s="7" t="s">
        <v>945</v>
      </c>
      <c r="J151" s="7" t="s">
        <v>1055</v>
      </c>
      <c r="K151" s="7" t="str">
        <f>HYPERLINK("http://slimages.macys.com/is/image/MCY/18730571 ")</f>
        <v xml:space="preserve">http://slimages.macys.com/is/image/MCY/18730571 </v>
      </c>
    </row>
    <row r="152" spans="1:11" ht="20.100000000000001" customHeight="1" x14ac:dyDescent="0.25">
      <c r="A152" s="12" t="s">
        <v>1362</v>
      </c>
      <c r="B152" s="13">
        <v>13571386</v>
      </c>
      <c r="C152" s="8">
        <v>679610835007</v>
      </c>
      <c r="D152" s="6" t="s">
        <v>1574</v>
      </c>
      <c r="E152" s="18">
        <v>1</v>
      </c>
      <c r="F152" s="14">
        <v>59.99</v>
      </c>
      <c r="G152" s="14">
        <v>59.99</v>
      </c>
      <c r="H152" s="7" t="s">
        <v>991</v>
      </c>
      <c r="I152" s="7" t="s">
        <v>945</v>
      </c>
      <c r="J152" s="7" t="s">
        <v>1055</v>
      </c>
      <c r="K152" s="7" t="str">
        <f>HYPERLINK("http://slimages.macys.com/is/image/MCY/18729109 ")</f>
        <v xml:space="preserve">http://slimages.macys.com/is/image/MCY/18729109 </v>
      </c>
    </row>
    <row r="153" spans="1:11" ht="20.100000000000001" customHeight="1" x14ac:dyDescent="0.25">
      <c r="A153" s="12" t="s">
        <v>1362</v>
      </c>
      <c r="B153" s="13">
        <v>13571386</v>
      </c>
      <c r="C153" s="8">
        <v>681827992770</v>
      </c>
      <c r="D153" s="6" t="s">
        <v>1374</v>
      </c>
      <c r="E153" s="18">
        <v>1</v>
      </c>
      <c r="F153" s="14">
        <v>89.99</v>
      </c>
      <c r="G153" s="14">
        <v>89.99</v>
      </c>
      <c r="H153" s="7" t="s">
        <v>1005</v>
      </c>
      <c r="I153" s="7" t="s">
        <v>1017</v>
      </c>
      <c r="J153" s="7" t="s">
        <v>1212</v>
      </c>
      <c r="K153" s="7" t="str">
        <f>HYPERLINK("http://slimages.macys.com/is/image/MCY/18515438 ")</f>
        <v xml:space="preserve">http://slimages.macys.com/is/image/MCY/18515438 </v>
      </c>
    </row>
    <row r="154" spans="1:11" ht="20.100000000000001" customHeight="1" x14ac:dyDescent="0.25">
      <c r="A154" s="12" t="s">
        <v>1362</v>
      </c>
      <c r="B154" s="13">
        <v>13571386</v>
      </c>
      <c r="C154" s="8">
        <v>689192617175</v>
      </c>
      <c r="D154" s="6" t="s">
        <v>1575</v>
      </c>
      <c r="E154" s="18">
        <v>1</v>
      </c>
      <c r="F154" s="14">
        <v>80.989999999999995</v>
      </c>
      <c r="G154" s="14">
        <v>80.989999999999995</v>
      </c>
      <c r="H154" s="7" t="s">
        <v>1082</v>
      </c>
      <c r="I154" s="7" t="s">
        <v>961</v>
      </c>
      <c r="J154" s="7" t="s">
        <v>943</v>
      </c>
      <c r="K154" s="7" t="str">
        <f>HYPERLINK("http://slimages.macys.com/is/image/MCY/11798634 ")</f>
        <v xml:space="preserve">http://slimages.macys.com/is/image/MCY/11798634 </v>
      </c>
    </row>
    <row r="155" spans="1:11" ht="20.100000000000001" customHeight="1" x14ac:dyDescent="0.25">
      <c r="A155" s="12" t="s">
        <v>1362</v>
      </c>
      <c r="B155" s="13">
        <v>13571386</v>
      </c>
      <c r="C155" s="8">
        <v>693614011434</v>
      </c>
      <c r="D155" s="6" t="s">
        <v>1419</v>
      </c>
      <c r="E155" s="18">
        <v>3</v>
      </c>
      <c r="F155" s="14">
        <v>35.99</v>
      </c>
      <c r="G155" s="14">
        <v>107.97</v>
      </c>
      <c r="H155" s="7" t="s">
        <v>941</v>
      </c>
      <c r="I155" s="7" t="s">
        <v>942</v>
      </c>
      <c r="J155" s="7" t="s">
        <v>943</v>
      </c>
      <c r="K155" s="7" t="str">
        <f>HYPERLINK("http://slimages.macys.com/is/image/MCY/11798695 ")</f>
        <v xml:space="preserve">http://slimages.macys.com/is/image/MCY/11798695 </v>
      </c>
    </row>
    <row r="156" spans="1:11" ht="20.100000000000001" customHeight="1" x14ac:dyDescent="0.25">
      <c r="A156" s="12" t="s">
        <v>1362</v>
      </c>
      <c r="B156" s="13">
        <v>13571386</v>
      </c>
      <c r="C156" s="8">
        <v>693614011519</v>
      </c>
      <c r="D156" s="6" t="s">
        <v>1576</v>
      </c>
      <c r="E156" s="18">
        <v>1</v>
      </c>
      <c r="F156" s="14">
        <v>44.99</v>
      </c>
      <c r="G156" s="14">
        <v>44.99</v>
      </c>
      <c r="H156" s="7" t="s">
        <v>941</v>
      </c>
      <c r="I156" s="7" t="s">
        <v>942</v>
      </c>
      <c r="J156" s="7" t="s">
        <v>943</v>
      </c>
      <c r="K156" s="7" t="str">
        <f>HYPERLINK("http://slimages.macys.com/is/image/MCY/11798735 ")</f>
        <v xml:space="preserve">http://slimages.macys.com/is/image/MCY/11798735 </v>
      </c>
    </row>
    <row r="157" spans="1:11" ht="20.100000000000001" customHeight="1" x14ac:dyDescent="0.25">
      <c r="A157" s="12" t="s">
        <v>1362</v>
      </c>
      <c r="B157" s="13">
        <v>13571386</v>
      </c>
      <c r="C157" s="8">
        <v>696445183660</v>
      </c>
      <c r="D157" s="6" t="s">
        <v>1577</v>
      </c>
      <c r="E157" s="18">
        <v>1</v>
      </c>
      <c r="F157" s="14">
        <v>76</v>
      </c>
      <c r="G157" s="14">
        <v>76</v>
      </c>
      <c r="H157" s="7" t="s">
        <v>1013</v>
      </c>
      <c r="I157" s="7" t="s">
        <v>1128</v>
      </c>
      <c r="J157" s="7" t="s">
        <v>1166</v>
      </c>
      <c r="K157" s="7" t="str">
        <f>HYPERLINK("http://images.bloomingdales.com/is/image/BLM/9783758 ")</f>
        <v xml:space="preserve">http://images.bloomingdales.com/is/image/BLM/9783758 </v>
      </c>
    </row>
    <row r="158" spans="1:11" ht="20.100000000000001" customHeight="1" x14ac:dyDescent="0.25">
      <c r="A158" s="12" t="s">
        <v>1362</v>
      </c>
      <c r="B158" s="13">
        <v>13571386</v>
      </c>
      <c r="C158" s="8">
        <v>696445196172</v>
      </c>
      <c r="D158" s="6" t="s">
        <v>1578</v>
      </c>
      <c r="E158" s="18">
        <v>1</v>
      </c>
      <c r="F158" s="14">
        <v>32</v>
      </c>
      <c r="G158" s="14">
        <v>32</v>
      </c>
      <c r="H158" s="7" t="s">
        <v>944</v>
      </c>
      <c r="I158" s="7" t="s">
        <v>1128</v>
      </c>
      <c r="J158" s="7" t="s">
        <v>1166</v>
      </c>
      <c r="K158" s="7" t="str">
        <f>HYPERLINK("http://images.bloomingdales.com/is/image/BLM/10497444 ")</f>
        <v xml:space="preserve">http://images.bloomingdales.com/is/image/BLM/10497444 </v>
      </c>
    </row>
    <row r="159" spans="1:11" ht="20.100000000000001" customHeight="1" x14ac:dyDescent="0.25">
      <c r="A159" s="12" t="s">
        <v>1362</v>
      </c>
      <c r="B159" s="13">
        <v>13571386</v>
      </c>
      <c r="C159" s="8">
        <v>706254462945</v>
      </c>
      <c r="D159" s="6" t="s">
        <v>1225</v>
      </c>
      <c r="E159" s="18">
        <v>1</v>
      </c>
      <c r="F159" s="14">
        <v>16.989999999999998</v>
      </c>
      <c r="G159" s="14">
        <v>16.989999999999998</v>
      </c>
      <c r="H159" s="7" t="s">
        <v>941</v>
      </c>
      <c r="I159" s="7" t="s">
        <v>971</v>
      </c>
      <c r="J159" s="7" t="s">
        <v>972</v>
      </c>
      <c r="K159" s="7" t="str">
        <f>HYPERLINK("http://slimages.macys.com/is/image/MCY/12737864 ")</f>
        <v xml:space="preserve">http://slimages.macys.com/is/image/MCY/12737864 </v>
      </c>
    </row>
    <row r="160" spans="1:11" ht="20.100000000000001" customHeight="1" x14ac:dyDescent="0.25">
      <c r="A160" s="12" t="s">
        <v>1362</v>
      </c>
      <c r="B160" s="13">
        <v>13571386</v>
      </c>
      <c r="C160" s="8">
        <v>706254616621</v>
      </c>
      <c r="D160" s="6" t="s">
        <v>1232</v>
      </c>
      <c r="E160" s="18">
        <v>1</v>
      </c>
      <c r="F160" s="14">
        <v>7.99</v>
      </c>
      <c r="G160" s="14">
        <v>7.99</v>
      </c>
      <c r="H160" s="7" t="s">
        <v>997</v>
      </c>
      <c r="I160" s="7" t="s">
        <v>971</v>
      </c>
      <c r="J160" s="7" t="s">
        <v>972</v>
      </c>
      <c r="K160" s="7" t="str">
        <f>HYPERLINK("http://slimages.macys.com/is/image/MCY/3271562 ")</f>
        <v xml:space="preserve">http://slimages.macys.com/is/image/MCY/3271562 </v>
      </c>
    </row>
    <row r="161" spans="1:11" ht="20.100000000000001" customHeight="1" x14ac:dyDescent="0.25">
      <c r="A161" s="12" t="s">
        <v>1362</v>
      </c>
      <c r="B161" s="13">
        <v>13571386</v>
      </c>
      <c r="C161" s="8">
        <v>706254714389</v>
      </c>
      <c r="D161" s="6" t="s">
        <v>1579</v>
      </c>
      <c r="E161" s="18">
        <v>6</v>
      </c>
      <c r="F161" s="14">
        <v>39.99</v>
      </c>
      <c r="G161" s="14">
        <v>239.94</v>
      </c>
      <c r="H161" s="7" t="s">
        <v>976</v>
      </c>
      <c r="I161" s="7" t="s">
        <v>971</v>
      </c>
      <c r="J161" s="7" t="s">
        <v>972</v>
      </c>
      <c r="K161" s="7" t="str">
        <f>HYPERLINK("http://slimages.macys.com/is/image/MCY/15098992 ")</f>
        <v xml:space="preserve">http://slimages.macys.com/is/image/MCY/15098992 </v>
      </c>
    </row>
    <row r="162" spans="1:11" ht="20.100000000000001" customHeight="1" x14ac:dyDescent="0.25">
      <c r="A162" s="12" t="s">
        <v>1362</v>
      </c>
      <c r="B162" s="13">
        <v>13571386</v>
      </c>
      <c r="C162" s="8">
        <v>706255871616</v>
      </c>
      <c r="D162" s="6" t="s">
        <v>1229</v>
      </c>
      <c r="E162" s="18">
        <v>4</v>
      </c>
      <c r="F162" s="14">
        <v>7.99</v>
      </c>
      <c r="G162" s="14">
        <v>31.96</v>
      </c>
      <c r="H162" s="7" t="s">
        <v>952</v>
      </c>
      <c r="I162" s="7" t="s">
        <v>971</v>
      </c>
      <c r="J162" s="7" t="s">
        <v>989</v>
      </c>
      <c r="K162" s="7" t="str">
        <f>HYPERLINK("http://slimages.macys.com/is/image/MCY/12723264 ")</f>
        <v xml:space="preserve">http://slimages.macys.com/is/image/MCY/12723264 </v>
      </c>
    </row>
    <row r="163" spans="1:11" ht="20.100000000000001" customHeight="1" x14ac:dyDescent="0.25">
      <c r="A163" s="12" t="s">
        <v>1362</v>
      </c>
      <c r="B163" s="13">
        <v>13571386</v>
      </c>
      <c r="C163" s="8">
        <v>706255871739</v>
      </c>
      <c r="D163" s="6" t="s">
        <v>1580</v>
      </c>
      <c r="E163" s="18">
        <v>2</v>
      </c>
      <c r="F163" s="14">
        <v>5.99</v>
      </c>
      <c r="G163" s="14">
        <v>11.98</v>
      </c>
      <c r="H163" s="7" t="s">
        <v>952</v>
      </c>
      <c r="I163" s="7" t="s">
        <v>971</v>
      </c>
      <c r="J163" s="7" t="s">
        <v>989</v>
      </c>
      <c r="K163" s="7" t="str">
        <f>HYPERLINK("http://slimages.macys.com/is/image/MCY/12723265 ")</f>
        <v xml:space="preserve">http://slimages.macys.com/is/image/MCY/12723265 </v>
      </c>
    </row>
    <row r="164" spans="1:11" ht="20.100000000000001" customHeight="1" x14ac:dyDescent="0.25">
      <c r="A164" s="12" t="s">
        <v>1362</v>
      </c>
      <c r="B164" s="13">
        <v>13571386</v>
      </c>
      <c r="C164" s="8">
        <v>706255871920</v>
      </c>
      <c r="D164" s="6" t="s">
        <v>1238</v>
      </c>
      <c r="E164" s="18">
        <v>3</v>
      </c>
      <c r="F164" s="14">
        <v>4.99</v>
      </c>
      <c r="G164" s="14">
        <v>14.97</v>
      </c>
      <c r="H164" s="7" t="s">
        <v>952</v>
      </c>
      <c r="I164" s="7" t="s">
        <v>971</v>
      </c>
      <c r="J164" s="7" t="s">
        <v>989</v>
      </c>
      <c r="K164" s="7" t="str">
        <f>HYPERLINK("http://slimages.macys.com/is/image/MCY/12723277 ")</f>
        <v xml:space="preserve">http://slimages.macys.com/is/image/MCY/12723277 </v>
      </c>
    </row>
    <row r="165" spans="1:11" ht="20.100000000000001" customHeight="1" x14ac:dyDescent="0.25">
      <c r="A165" s="12" t="s">
        <v>1362</v>
      </c>
      <c r="B165" s="13">
        <v>13571386</v>
      </c>
      <c r="C165" s="8">
        <v>706257253724</v>
      </c>
      <c r="D165" s="6" t="s">
        <v>1581</v>
      </c>
      <c r="E165" s="18">
        <v>5</v>
      </c>
      <c r="F165" s="14">
        <v>79.989999999999995</v>
      </c>
      <c r="G165" s="14">
        <v>399.95</v>
      </c>
      <c r="H165" s="7" t="s">
        <v>941</v>
      </c>
      <c r="I165" s="7" t="s">
        <v>956</v>
      </c>
      <c r="J165" s="7" t="s">
        <v>1028</v>
      </c>
      <c r="K165" s="7" t="str">
        <f>HYPERLINK("http://slimages.macys.com/is/image/MCY/8157179 ")</f>
        <v xml:space="preserve">http://slimages.macys.com/is/image/MCY/8157179 </v>
      </c>
    </row>
    <row r="166" spans="1:11" ht="20.100000000000001" customHeight="1" x14ac:dyDescent="0.25">
      <c r="A166" s="12" t="s">
        <v>1362</v>
      </c>
      <c r="B166" s="13">
        <v>13571386</v>
      </c>
      <c r="C166" s="8">
        <v>706257253779</v>
      </c>
      <c r="D166" s="6" t="s">
        <v>1582</v>
      </c>
      <c r="E166" s="18">
        <v>1</v>
      </c>
      <c r="F166" s="14">
        <v>99.99</v>
      </c>
      <c r="G166" s="14">
        <v>99.99</v>
      </c>
      <c r="H166" s="7" t="s">
        <v>941</v>
      </c>
      <c r="I166" s="7" t="s">
        <v>956</v>
      </c>
      <c r="J166" s="7" t="s">
        <v>1028</v>
      </c>
      <c r="K166" s="7" t="str">
        <f>HYPERLINK("http://slimages.macys.com/is/image/MCY/8152581 ")</f>
        <v xml:space="preserve">http://slimages.macys.com/is/image/MCY/8152581 </v>
      </c>
    </row>
    <row r="167" spans="1:11" ht="20.100000000000001" customHeight="1" x14ac:dyDescent="0.25">
      <c r="A167" s="12" t="s">
        <v>1362</v>
      </c>
      <c r="B167" s="13">
        <v>13571386</v>
      </c>
      <c r="C167" s="8">
        <v>706257399927</v>
      </c>
      <c r="D167" s="6" t="s">
        <v>1182</v>
      </c>
      <c r="E167" s="18">
        <v>1</v>
      </c>
      <c r="F167" s="14">
        <v>99.99</v>
      </c>
      <c r="G167" s="14">
        <v>99.99</v>
      </c>
      <c r="H167" s="7" t="s">
        <v>941</v>
      </c>
      <c r="I167" s="7" t="s">
        <v>956</v>
      </c>
      <c r="J167" s="7" t="s">
        <v>1028</v>
      </c>
      <c r="K167" s="7" t="str">
        <f>HYPERLINK("http://slimages.macys.com/is/image/MCY/8182285 ")</f>
        <v xml:space="preserve">http://slimages.macys.com/is/image/MCY/8182285 </v>
      </c>
    </row>
    <row r="168" spans="1:11" ht="20.100000000000001" customHeight="1" x14ac:dyDescent="0.25">
      <c r="A168" s="12" t="s">
        <v>1362</v>
      </c>
      <c r="B168" s="13">
        <v>13571386</v>
      </c>
      <c r="C168" s="8">
        <v>706257404324</v>
      </c>
      <c r="D168" s="6" t="s">
        <v>1182</v>
      </c>
      <c r="E168" s="18">
        <v>2</v>
      </c>
      <c r="F168" s="14">
        <v>99.99</v>
      </c>
      <c r="G168" s="14">
        <v>199.98</v>
      </c>
      <c r="H168" s="7" t="s">
        <v>941</v>
      </c>
      <c r="I168" s="7" t="s">
        <v>956</v>
      </c>
      <c r="J168" s="7" t="s">
        <v>1028</v>
      </c>
      <c r="K168" s="7" t="str">
        <f>HYPERLINK("http://slimages.macys.com/is/image/MCY/8182285 ")</f>
        <v xml:space="preserve">http://slimages.macys.com/is/image/MCY/8182285 </v>
      </c>
    </row>
    <row r="169" spans="1:11" ht="20.100000000000001" customHeight="1" x14ac:dyDescent="0.25">
      <c r="A169" s="12" t="s">
        <v>1362</v>
      </c>
      <c r="B169" s="13">
        <v>13571386</v>
      </c>
      <c r="C169" s="8">
        <v>706257404348</v>
      </c>
      <c r="D169" s="6" t="s">
        <v>1121</v>
      </c>
      <c r="E169" s="18">
        <v>1</v>
      </c>
      <c r="F169" s="14">
        <v>139.99</v>
      </c>
      <c r="G169" s="14">
        <v>139.99</v>
      </c>
      <c r="H169" s="7" t="s">
        <v>941</v>
      </c>
      <c r="I169" s="7" t="s">
        <v>956</v>
      </c>
      <c r="J169" s="7" t="s">
        <v>1028</v>
      </c>
      <c r="K169" s="7" t="str">
        <f>HYPERLINK("http://slimages.macys.com/is/image/MCY/8182285 ")</f>
        <v xml:space="preserve">http://slimages.macys.com/is/image/MCY/8182285 </v>
      </c>
    </row>
    <row r="170" spans="1:11" ht="20.100000000000001" customHeight="1" x14ac:dyDescent="0.25">
      <c r="A170" s="12" t="s">
        <v>1362</v>
      </c>
      <c r="B170" s="13">
        <v>13571386</v>
      </c>
      <c r="C170" s="8">
        <v>706257404898</v>
      </c>
      <c r="D170" s="6" t="s">
        <v>1583</v>
      </c>
      <c r="E170" s="18">
        <v>1</v>
      </c>
      <c r="F170" s="14">
        <v>99.99</v>
      </c>
      <c r="G170" s="14">
        <v>99.99</v>
      </c>
      <c r="H170" s="7" t="s">
        <v>976</v>
      </c>
      <c r="I170" s="7" t="s">
        <v>956</v>
      </c>
      <c r="J170" s="7" t="s">
        <v>1028</v>
      </c>
      <c r="K170" s="7" t="str">
        <f>HYPERLINK("http://slimages.macys.com/is/image/MCY/8182285 ")</f>
        <v xml:space="preserve">http://slimages.macys.com/is/image/MCY/8182285 </v>
      </c>
    </row>
    <row r="171" spans="1:11" ht="20.100000000000001" customHeight="1" x14ac:dyDescent="0.25">
      <c r="A171" s="12" t="s">
        <v>1362</v>
      </c>
      <c r="B171" s="13">
        <v>13571386</v>
      </c>
      <c r="C171" s="8">
        <v>706257405017</v>
      </c>
      <c r="D171" s="6" t="s">
        <v>1584</v>
      </c>
      <c r="E171" s="18">
        <v>2</v>
      </c>
      <c r="F171" s="14">
        <v>139.99</v>
      </c>
      <c r="G171" s="14">
        <v>279.98</v>
      </c>
      <c r="H171" s="7" t="s">
        <v>1062</v>
      </c>
      <c r="I171" s="7" t="s">
        <v>956</v>
      </c>
      <c r="J171" s="7" t="s">
        <v>1028</v>
      </c>
      <c r="K171" s="7" t="str">
        <f>HYPERLINK("http://slimages.macys.com/is/image/MCY/8182285 ")</f>
        <v xml:space="preserve">http://slimages.macys.com/is/image/MCY/8182285 </v>
      </c>
    </row>
    <row r="172" spans="1:11" ht="20.100000000000001" customHeight="1" x14ac:dyDescent="0.25">
      <c r="A172" s="12" t="s">
        <v>1362</v>
      </c>
      <c r="B172" s="13">
        <v>13571386</v>
      </c>
      <c r="C172" s="8">
        <v>706257490365</v>
      </c>
      <c r="D172" s="6" t="s">
        <v>1585</v>
      </c>
      <c r="E172" s="18">
        <v>1</v>
      </c>
      <c r="F172" s="14">
        <v>9.99</v>
      </c>
      <c r="G172" s="14">
        <v>9.99</v>
      </c>
      <c r="H172" s="7" t="s">
        <v>941</v>
      </c>
      <c r="I172" s="7" t="s">
        <v>971</v>
      </c>
      <c r="J172" s="7" t="s">
        <v>989</v>
      </c>
      <c r="K172" s="7" t="str">
        <f>HYPERLINK("http://slimages.macys.com/is/image/MCY/12723168 ")</f>
        <v xml:space="preserve">http://slimages.macys.com/is/image/MCY/12723168 </v>
      </c>
    </row>
    <row r="173" spans="1:11" ht="20.100000000000001" customHeight="1" x14ac:dyDescent="0.25">
      <c r="A173" s="12" t="s">
        <v>1362</v>
      </c>
      <c r="B173" s="13">
        <v>13571386</v>
      </c>
      <c r="C173" s="8">
        <v>706257998137</v>
      </c>
      <c r="D173" s="6" t="s">
        <v>1586</v>
      </c>
      <c r="E173" s="18">
        <v>2</v>
      </c>
      <c r="F173" s="14">
        <v>199.99</v>
      </c>
      <c r="G173" s="14">
        <v>399.98</v>
      </c>
      <c r="H173" s="7" t="s">
        <v>1036</v>
      </c>
      <c r="I173" s="7" t="s">
        <v>956</v>
      </c>
      <c r="J173" s="7" t="s">
        <v>1014</v>
      </c>
      <c r="K173" s="7" t="str">
        <f>HYPERLINK("http://slimages.macys.com/is/image/MCY/13891271 ")</f>
        <v xml:space="preserve">http://slimages.macys.com/is/image/MCY/13891271 </v>
      </c>
    </row>
    <row r="174" spans="1:11" ht="20.100000000000001" customHeight="1" x14ac:dyDescent="0.25">
      <c r="A174" s="12" t="s">
        <v>1362</v>
      </c>
      <c r="B174" s="13">
        <v>13571386</v>
      </c>
      <c r="C174" s="8">
        <v>706257998267</v>
      </c>
      <c r="D174" s="6" t="s">
        <v>1587</v>
      </c>
      <c r="E174" s="18">
        <v>1</v>
      </c>
      <c r="F174" s="14">
        <v>199</v>
      </c>
      <c r="G174" s="14">
        <v>199</v>
      </c>
      <c r="H174" s="7" t="s">
        <v>1036</v>
      </c>
      <c r="I174" s="7" t="s">
        <v>956</v>
      </c>
      <c r="J174" s="7" t="s">
        <v>1014</v>
      </c>
      <c r="K174" s="7" t="str">
        <f>HYPERLINK("http://slimages.macys.com/is/image/MCY/8453058 ")</f>
        <v xml:space="preserve">http://slimages.macys.com/is/image/MCY/8453058 </v>
      </c>
    </row>
    <row r="175" spans="1:11" ht="20.100000000000001" customHeight="1" x14ac:dyDescent="0.25">
      <c r="A175" s="12" t="s">
        <v>1362</v>
      </c>
      <c r="B175" s="13">
        <v>13571386</v>
      </c>
      <c r="C175" s="8">
        <v>706257998274</v>
      </c>
      <c r="D175" s="6" t="s">
        <v>1149</v>
      </c>
      <c r="E175" s="18">
        <v>1</v>
      </c>
      <c r="F175" s="14">
        <v>249.99</v>
      </c>
      <c r="G175" s="14">
        <v>249.99</v>
      </c>
      <c r="H175" s="7" t="s">
        <v>1036</v>
      </c>
      <c r="I175" s="7" t="s">
        <v>956</v>
      </c>
      <c r="J175" s="7" t="s">
        <v>1014</v>
      </c>
      <c r="K175" s="7" t="str">
        <f>HYPERLINK("http://slimages.macys.com/is/image/MCY/8453058 ")</f>
        <v xml:space="preserve">http://slimages.macys.com/is/image/MCY/8453058 </v>
      </c>
    </row>
    <row r="176" spans="1:11" ht="20.100000000000001" customHeight="1" x14ac:dyDescent="0.25">
      <c r="A176" s="12" t="s">
        <v>1362</v>
      </c>
      <c r="B176" s="13">
        <v>13571386</v>
      </c>
      <c r="C176" s="8">
        <v>706258049838</v>
      </c>
      <c r="D176" s="6" t="s">
        <v>1588</v>
      </c>
      <c r="E176" s="18">
        <v>1</v>
      </c>
      <c r="F176" s="14">
        <v>99.99</v>
      </c>
      <c r="G176" s="14">
        <v>99.99</v>
      </c>
      <c r="H176" s="7" t="s">
        <v>1013</v>
      </c>
      <c r="I176" s="7" t="s">
        <v>969</v>
      </c>
      <c r="J176" s="7" t="s">
        <v>970</v>
      </c>
      <c r="K176" s="7" t="str">
        <f>HYPERLINK("http://slimages.macys.com/is/image/MCY/8433239 ")</f>
        <v xml:space="preserve">http://slimages.macys.com/is/image/MCY/8433239 </v>
      </c>
    </row>
    <row r="177" spans="1:11" ht="20.100000000000001" customHeight="1" x14ac:dyDescent="0.25">
      <c r="A177" s="12" t="s">
        <v>1362</v>
      </c>
      <c r="B177" s="13">
        <v>13571386</v>
      </c>
      <c r="C177" s="8">
        <v>706258050568</v>
      </c>
      <c r="D177" s="6" t="s">
        <v>1015</v>
      </c>
      <c r="E177" s="18">
        <v>1</v>
      </c>
      <c r="F177" s="14">
        <v>69.989999999999995</v>
      </c>
      <c r="G177" s="14">
        <v>69.989999999999995</v>
      </c>
      <c r="H177" s="7" t="s">
        <v>941</v>
      </c>
      <c r="I177" s="7" t="s">
        <v>969</v>
      </c>
      <c r="J177" s="7" t="s">
        <v>970</v>
      </c>
      <c r="K177" s="7" t="str">
        <f>HYPERLINK("http://slimages.macys.com/is/image/MCY/11607139 ")</f>
        <v xml:space="preserve">http://slimages.macys.com/is/image/MCY/11607139 </v>
      </c>
    </row>
    <row r="178" spans="1:11" ht="20.100000000000001" customHeight="1" x14ac:dyDescent="0.25">
      <c r="A178" s="12" t="s">
        <v>1362</v>
      </c>
      <c r="B178" s="13">
        <v>13571386</v>
      </c>
      <c r="C178" s="8">
        <v>706258050650</v>
      </c>
      <c r="D178" s="6" t="s">
        <v>1589</v>
      </c>
      <c r="E178" s="18">
        <v>1</v>
      </c>
      <c r="F178" s="14">
        <v>99.99</v>
      </c>
      <c r="G178" s="14">
        <v>99.99</v>
      </c>
      <c r="H178" s="7" t="s">
        <v>941</v>
      </c>
      <c r="I178" s="7" t="s">
        <v>969</v>
      </c>
      <c r="J178" s="7" t="s">
        <v>970</v>
      </c>
      <c r="K178" s="7" t="str">
        <f>HYPERLINK("http://slimages.macys.com/is/image/MCY/8433214 ")</f>
        <v xml:space="preserve">http://slimages.macys.com/is/image/MCY/8433214 </v>
      </c>
    </row>
    <row r="179" spans="1:11" ht="20.100000000000001" customHeight="1" x14ac:dyDescent="0.25">
      <c r="A179" s="12" t="s">
        <v>1362</v>
      </c>
      <c r="B179" s="13">
        <v>13571386</v>
      </c>
      <c r="C179" s="8">
        <v>706258051299</v>
      </c>
      <c r="D179" s="6" t="s">
        <v>1590</v>
      </c>
      <c r="E179" s="18">
        <v>1</v>
      </c>
      <c r="F179" s="14">
        <v>49.99</v>
      </c>
      <c r="G179" s="14">
        <v>49.99</v>
      </c>
      <c r="H179" s="7" t="s">
        <v>941</v>
      </c>
      <c r="I179" s="7" t="s">
        <v>969</v>
      </c>
      <c r="J179" s="7" t="s">
        <v>970</v>
      </c>
      <c r="K179" s="7" t="str">
        <f>HYPERLINK("http://slimages.macys.com/is/image/MCY/8432521 ")</f>
        <v xml:space="preserve">http://slimages.macys.com/is/image/MCY/8432521 </v>
      </c>
    </row>
    <row r="180" spans="1:11" ht="20.100000000000001" customHeight="1" x14ac:dyDescent="0.25">
      <c r="A180" s="12" t="s">
        <v>1362</v>
      </c>
      <c r="B180" s="13">
        <v>13571386</v>
      </c>
      <c r="C180" s="8">
        <v>706258089124</v>
      </c>
      <c r="D180" s="6" t="s">
        <v>1591</v>
      </c>
      <c r="E180" s="18">
        <v>1</v>
      </c>
      <c r="F180" s="14">
        <v>129.99</v>
      </c>
      <c r="G180" s="14">
        <v>129.99</v>
      </c>
      <c r="H180" s="7" t="s">
        <v>1025</v>
      </c>
      <c r="I180" s="7" t="s">
        <v>969</v>
      </c>
      <c r="J180" s="7" t="s">
        <v>970</v>
      </c>
      <c r="K180" s="7" t="str">
        <f>HYPERLINK("http://slimages.macys.com/is/image/MCY/11607139 ")</f>
        <v xml:space="preserve">http://slimages.macys.com/is/image/MCY/11607139 </v>
      </c>
    </row>
    <row r="181" spans="1:11" ht="20.100000000000001" customHeight="1" x14ac:dyDescent="0.25">
      <c r="A181" s="12" t="s">
        <v>1362</v>
      </c>
      <c r="B181" s="13">
        <v>13571386</v>
      </c>
      <c r="C181" s="8">
        <v>706258089742</v>
      </c>
      <c r="D181" s="6" t="s">
        <v>1288</v>
      </c>
      <c r="E181" s="18">
        <v>1</v>
      </c>
      <c r="F181" s="14">
        <v>119.99</v>
      </c>
      <c r="G181" s="14">
        <v>119.99</v>
      </c>
      <c r="H181" s="7" t="s">
        <v>941</v>
      </c>
      <c r="I181" s="7" t="s">
        <v>969</v>
      </c>
      <c r="J181" s="7" t="s">
        <v>970</v>
      </c>
      <c r="K181" s="7" t="str">
        <f>HYPERLINK("http://slimages.macys.com/is/image/MCY/8433239 ")</f>
        <v xml:space="preserve">http://slimages.macys.com/is/image/MCY/8433239 </v>
      </c>
    </row>
    <row r="182" spans="1:11" ht="20.100000000000001" customHeight="1" x14ac:dyDescent="0.25">
      <c r="A182" s="12" t="s">
        <v>1362</v>
      </c>
      <c r="B182" s="13">
        <v>13571386</v>
      </c>
      <c r="C182" s="8">
        <v>706258089773</v>
      </c>
      <c r="D182" s="6" t="s">
        <v>1169</v>
      </c>
      <c r="E182" s="18">
        <v>1</v>
      </c>
      <c r="F182" s="14">
        <v>119.99</v>
      </c>
      <c r="G182" s="14">
        <v>119.99</v>
      </c>
      <c r="H182" s="7" t="s">
        <v>981</v>
      </c>
      <c r="I182" s="7" t="s">
        <v>969</v>
      </c>
      <c r="J182" s="7" t="s">
        <v>970</v>
      </c>
      <c r="K182" s="7" t="str">
        <f>HYPERLINK("http://slimages.macys.com/is/image/MCY/8433239 ")</f>
        <v xml:space="preserve">http://slimages.macys.com/is/image/MCY/8433239 </v>
      </c>
    </row>
    <row r="183" spans="1:11" ht="20.100000000000001" customHeight="1" x14ac:dyDescent="0.25">
      <c r="A183" s="12" t="s">
        <v>1362</v>
      </c>
      <c r="B183" s="13">
        <v>13571386</v>
      </c>
      <c r="C183" s="8">
        <v>706258090014</v>
      </c>
      <c r="D183" s="6" t="s">
        <v>1424</v>
      </c>
      <c r="E183" s="18">
        <v>1</v>
      </c>
      <c r="F183" s="14">
        <v>129.99</v>
      </c>
      <c r="G183" s="14">
        <v>129.99</v>
      </c>
      <c r="H183" s="7" t="s">
        <v>1013</v>
      </c>
      <c r="I183" s="7" t="s">
        <v>969</v>
      </c>
      <c r="J183" s="7" t="s">
        <v>970</v>
      </c>
      <c r="K183" s="7" t="str">
        <f>HYPERLINK("http://slimages.macys.com/is/image/MCY/8433239 ")</f>
        <v xml:space="preserve">http://slimages.macys.com/is/image/MCY/8433239 </v>
      </c>
    </row>
    <row r="184" spans="1:11" ht="20.100000000000001" customHeight="1" x14ac:dyDescent="0.25">
      <c r="A184" s="12" t="s">
        <v>1362</v>
      </c>
      <c r="B184" s="13">
        <v>13571386</v>
      </c>
      <c r="C184" s="8">
        <v>706258090205</v>
      </c>
      <c r="D184" s="6" t="s">
        <v>1425</v>
      </c>
      <c r="E184" s="18">
        <v>2</v>
      </c>
      <c r="F184" s="14">
        <v>99.99</v>
      </c>
      <c r="G184" s="14">
        <v>199.98</v>
      </c>
      <c r="H184" s="7" t="s">
        <v>941</v>
      </c>
      <c r="I184" s="7" t="s">
        <v>969</v>
      </c>
      <c r="J184" s="7" t="s">
        <v>970</v>
      </c>
      <c r="K184" s="7" t="str">
        <f>HYPERLINK("http://slimages.macys.com/is/image/MCY/8433239 ")</f>
        <v xml:space="preserve">http://slimages.macys.com/is/image/MCY/8433239 </v>
      </c>
    </row>
    <row r="185" spans="1:11" ht="20.100000000000001" customHeight="1" x14ac:dyDescent="0.25">
      <c r="A185" s="12" t="s">
        <v>1362</v>
      </c>
      <c r="B185" s="13">
        <v>13571386</v>
      </c>
      <c r="C185" s="8">
        <v>706258547822</v>
      </c>
      <c r="D185" s="6" t="s">
        <v>1592</v>
      </c>
      <c r="E185" s="18">
        <v>1</v>
      </c>
      <c r="F185" s="14">
        <v>79.989999999999995</v>
      </c>
      <c r="G185" s="14">
        <v>79.989999999999995</v>
      </c>
      <c r="H185" s="7" t="s">
        <v>1044</v>
      </c>
      <c r="I185" s="7" t="s">
        <v>1046</v>
      </c>
      <c r="J185" s="7" t="s">
        <v>1047</v>
      </c>
      <c r="K185" s="7" t="str">
        <f>HYPERLINK("http://slimages.macys.com/is/image/MCY/8670787 ")</f>
        <v xml:space="preserve">http://slimages.macys.com/is/image/MCY/8670787 </v>
      </c>
    </row>
    <row r="186" spans="1:11" ht="20.100000000000001" customHeight="1" x14ac:dyDescent="0.25">
      <c r="A186" s="12" t="s">
        <v>1362</v>
      </c>
      <c r="B186" s="13">
        <v>13571386</v>
      </c>
      <c r="C186" s="8">
        <v>706258615675</v>
      </c>
      <c r="D186" s="6" t="s">
        <v>1593</v>
      </c>
      <c r="E186" s="18">
        <v>1</v>
      </c>
      <c r="F186" s="14">
        <v>35.99</v>
      </c>
      <c r="G186" s="14">
        <v>35.99</v>
      </c>
      <c r="H186" s="7" t="s">
        <v>994</v>
      </c>
      <c r="I186" s="7" t="s">
        <v>1058</v>
      </c>
      <c r="J186" s="7" t="s">
        <v>1197</v>
      </c>
      <c r="K186" s="7" t="str">
        <f>HYPERLINK("http://slimages.macys.com/is/image/MCY/9406085 ")</f>
        <v xml:space="preserve">http://slimages.macys.com/is/image/MCY/9406085 </v>
      </c>
    </row>
    <row r="187" spans="1:11" ht="20.100000000000001" customHeight="1" x14ac:dyDescent="0.25">
      <c r="A187" s="12" t="s">
        <v>1362</v>
      </c>
      <c r="B187" s="13">
        <v>13571386</v>
      </c>
      <c r="C187" s="8">
        <v>706258615897</v>
      </c>
      <c r="D187" s="6" t="s">
        <v>1379</v>
      </c>
      <c r="E187" s="18">
        <v>1</v>
      </c>
      <c r="F187" s="14">
        <v>29.99</v>
      </c>
      <c r="G187" s="14">
        <v>29.99</v>
      </c>
      <c r="H187" s="7" t="s">
        <v>994</v>
      </c>
      <c r="I187" s="7" t="s">
        <v>1058</v>
      </c>
      <c r="J187" s="7" t="s">
        <v>1197</v>
      </c>
      <c r="K187" s="7" t="str">
        <f>HYPERLINK("http://slimages.macys.com/is/image/MCY/9406085 ")</f>
        <v xml:space="preserve">http://slimages.macys.com/is/image/MCY/9406085 </v>
      </c>
    </row>
    <row r="188" spans="1:11" ht="20.100000000000001" customHeight="1" x14ac:dyDescent="0.25">
      <c r="A188" s="12" t="s">
        <v>1362</v>
      </c>
      <c r="B188" s="13">
        <v>13571386</v>
      </c>
      <c r="C188" s="8">
        <v>706258615903</v>
      </c>
      <c r="D188" s="6" t="s">
        <v>1594</v>
      </c>
      <c r="E188" s="18">
        <v>1</v>
      </c>
      <c r="F188" s="14">
        <v>29.99</v>
      </c>
      <c r="G188" s="14">
        <v>29.99</v>
      </c>
      <c r="H188" s="7" t="s">
        <v>994</v>
      </c>
      <c r="I188" s="7" t="s">
        <v>1058</v>
      </c>
      <c r="J188" s="7" t="s">
        <v>1197</v>
      </c>
      <c r="K188" s="7" t="str">
        <f>HYPERLINK("http://slimages.macys.com/is/image/MCY/9406085 ")</f>
        <v xml:space="preserve">http://slimages.macys.com/is/image/MCY/9406085 </v>
      </c>
    </row>
    <row r="189" spans="1:11" ht="20.100000000000001" customHeight="1" x14ac:dyDescent="0.25">
      <c r="A189" s="12" t="s">
        <v>1362</v>
      </c>
      <c r="B189" s="13">
        <v>13571386</v>
      </c>
      <c r="C189" s="8">
        <v>706258616337</v>
      </c>
      <c r="D189" s="6" t="s">
        <v>1223</v>
      </c>
      <c r="E189" s="18">
        <v>1</v>
      </c>
      <c r="F189" s="14">
        <v>12.99</v>
      </c>
      <c r="G189" s="14">
        <v>12.99</v>
      </c>
      <c r="H189" s="7" t="s">
        <v>994</v>
      </c>
      <c r="I189" s="7" t="s">
        <v>1058</v>
      </c>
      <c r="J189" s="7" t="s">
        <v>1197</v>
      </c>
      <c r="K189" s="7" t="str">
        <f>HYPERLINK("http://slimages.macys.com/is/image/MCY/2831820 ")</f>
        <v xml:space="preserve">http://slimages.macys.com/is/image/MCY/2831820 </v>
      </c>
    </row>
    <row r="190" spans="1:11" ht="20.100000000000001" customHeight="1" x14ac:dyDescent="0.25">
      <c r="A190" s="12" t="s">
        <v>1362</v>
      </c>
      <c r="B190" s="13">
        <v>13571386</v>
      </c>
      <c r="C190" s="8">
        <v>706258616351</v>
      </c>
      <c r="D190" s="6" t="s">
        <v>1595</v>
      </c>
      <c r="E190" s="18">
        <v>1</v>
      </c>
      <c r="F190" s="14">
        <v>39.99</v>
      </c>
      <c r="G190" s="14">
        <v>39.99</v>
      </c>
      <c r="H190" s="7" t="s">
        <v>994</v>
      </c>
      <c r="I190" s="7" t="s">
        <v>1058</v>
      </c>
      <c r="J190" s="7" t="s">
        <v>1197</v>
      </c>
      <c r="K190" s="7" t="str">
        <f>HYPERLINK("http://slimages.macys.com/is/image/MCY/256335 ")</f>
        <v xml:space="preserve">http://slimages.macys.com/is/image/MCY/256335 </v>
      </c>
    </row>
    <row r="191" spans="1:11" ht="20.100000000000001" customHeight="1" x14ac:dyDescent="0.25">
      <c r="A191" s="12" t="s">
        <v>1362</v>
      </c>
      <c r="B191" s="13">
        <v>13571386</v>
      </c>
      <c r="C191" s="8">
        <v>706258616368</v>
      </c>
      <c r="D191" s="6" t="s">
        <v>1596</v>
      </c>
      <c r="E191" s="18">
        <v>1</v>
      </c>
      <c r="F191" s="14">
        <v>59.99</v>
      </c>
      <c r="G191" s="14">
        <v>59.99</v>
      </c>
      <c r="H191" s="7" t="s">
        <v>994</v>
      </c>
      <c r="I191" s="7" t="s">
        <v>1058</v>
      </c>
      <c r="J191" s="7" t="s">
        <v>1197</v>
      </c>
      <c r="K191" s="7" t="str">
        <f>HYPERLINK("http://slimages.macys.com/is/image/MCY/256335 ")</f>
        <v xml:space="preserve">http://slimages.macys.com/is/image/MCY/256335 </v>
      </c>
    </row>
    <row r="192" spans="1:11" ht="20.100000000000001" customHeight="1" x14ac:dyDescent="0.25">
      <c r="A192" s="12" t="s">
        <v>1362</v>
      </c>
      <c r="B192" s="13">
        <v>13571386</v>
      </c>
      <c r="C192" s="8">
        <v>706258807360</v>
      </c>
      <c r="D192" s="6" t="s">
        <v>1597</v>
      </c>
      <c r="E192" s="18">
        <v>1</v>
      </c>
      <c r="F192" s="14">
        <v>36</v>
      </c>
      <c r="G192" s="14">
        <v>36</v>
      </c>
      <c r="H192" s="7" t="s">
        <v>1013</v>
      </c>
      <c r="I192" s="7" t="s">
        <v>1033</v>
      </c>
      <c r="J192" s="7" t="s">
        <v>1264</v>
      </c>
      <c r="K192" s="7" t="str">
        <f>HYPERLINK("http://images.bloomingdales.com/is/image/BLM/10231000 ")</f>
        <v xml:space="preserve">http://images.bloomingdales.com/is/image/BLM/10231000 </v>
      </c>
    </row>
    <row r="193" spans="1:11" ht="20.100000000000001" customHeight="1" x14ac:dyDescent="0.25">
      <c r="A193" s="12" t="s">
        <v>1362</v>
      </c>
      <c r="B193" s="13">
        <v>13571386</v>
      </c>
      <c r="C193" s="8">
        <v>706258825197</v>
      </c>
      <c r="D193" s="6" t="s">
        <v>1546</v>
      </c>
      <c r="E193" s="18">
        <v>1</v>
      </c>
      <c r="F193" s="14">
        <v>72</v>
      </c>
      <c r="G193" s="14">
        <v>72</v>
      </c>
      <c r="H193" s="7" t="s">
        <v>1013</v>
      </c>
      <c r="I193" s="7" t="s">
        <v>1033</v>
      </c>
      <c r="J193" s="7" t="s">
        <v>1264</v>
      </c>
      <c r="K193" s="7" t="str">
        <f>HYPERLINK("http://images.bloomingdales.com/is/image/BLM/10231000 ")</f>
        <v xml:space="preserve">http://images.bloomingdales.com/is/image/BLM/10231000 </v>
      </c>
    </row>
    <row r="194" spans="1:11" ht="20.100000000000001" customHeight="1" x14ac:dyDescent="0.25">
      <c r="A194" s="12" t="s">
        <v>1362</v>
      </c>
      <c r="B194" s="13">
        <v>13571386</v>
      </c>
      <c r="C194" s="8">
        <v>709271377490</v>
      </c>
      <c r="D194" s="6" t="s">
        <v>1598</v>
      </c>
      <c r="E194" s="18">
        <v>3</v>
      </c>
      <c r="F194" s="14">
        <v>49.99</v>
      </c>
      <c r="G194" s="14">
        <v>149.97</v>
      </c>
      <c r="H194" s="7" t="s">
        <v>941</v>
      </c>
      <c r="I194" s="7" t="s">
        <v>999</v>
      </c>
      <c r="J194" s="7" t="s">
        <v>1132</v>
      </c>
      <c r="K194" s="7" t="str">
        <f>HYPERLINK("http://slimages.macys.com/is/image/MCY/8289253 ")</f>
        <v xml:space="preserve">http://slimages.macys.com/is/image/MCY/8289253 </v>
      </c>
    </row>
    <row r="195" spans="1:11" ht="20.100000000000001" customHeight="1" x14ac:dyDescent="0.25">
      <c r="A195" s="12" t="s">
        <v>1362</v>
      </c>
      <c r="B195" s="13">
        <v>13571386</v>
      </c>
      <c r="C195" s="8">
        <v>709271377568</v>
      </c>
      <c r="D195" s="6" t="s">
        <v>1599</v>
      </c>
      <c r="E195" s="18">
        <v>1</v>
      </c>
      <c r="F195" s="14">
        <v>24.99</v>
      </c>
      <c r="G195" s="14">
        <v>24.99</v>
      </c>
      <c r="H195" s="7" t="s">
        <v>941</v>
      </c>
      <c r="I195" s="7" t="s">
        <v>999</v>
      </c>
      <c r="J195" s="7" t="s">
        <v>1132</v>
      </c>
      <c r="K195" s="7" t="str">
        <f>HYPERLINK("http://slimages.macys.com/is/image/MCY/3663850 ")</f>
        <v xml:space="preserve">http://slimages.macys.com/is/image/MCY/3663850 </v>
      </c>
    </row>
    <row r="196" spans="1:11" ht="20.100000000000001" customHeight="1" x14ac:dyDescent="0.25">
      <c r="A196" s="12" t="s">
        <v>1362</v>
      </c>
      <c r="B196" s="13">
        <v>13571386</v>
      </c>
      <c r="C196" s="8">
        <v>709271377599</v>
      </c>
      <c r="D196" s="6" t="s">
        <v>1600</v>
      </c>
      <c r="E196" s="18">
        <v>1</v>
      </c>
      <c r="F196" s="14">
        <v>129.99</v>
      </c>
      <c r="G196" s="14">
        <v>129.99</v>
      </c>
      <c r="H196" s="7" t="s">
        <v>1013</v>
      </c>
      <c r="I196" s="7" t="s">
        <v>999</v>
      </c>
      <c r="J196" s="7" t="s">
        <v>1132</v>
      </c>
      <c r="K196" s="7" t="str">
        <f>HYPERLINK("http://slimages.macys.com/is/image/MCY/3663823 ")</f>
        <v xml:space="preserve">http://slimages.macys.com/is/image/MCY/3663823 </v>
      </c>
    </row>
    <row r="197" spans="1:11" ht="20.100000000000001" customHeight="1" x14ac:dyDescent="0.25">
      <c r="A197" s="12" t="s">
        <v>1362</v>
      </c>
      <c r="B197" s="13">
        <v>13571386</v>
      </c>
      <c r="C197" s="8">
        <v>709271377735</v>
      </c>
      <c r="D197" s="6" t="s">
        <v>1601</v>
      </c>
      <c r="E197" s="18">
        <v>1</v>
      </c>
      <c r="F197" s="14">
        <v>24.99</v>
      </c>
      <c r="G197" s="14">
        <v>24.99</v>
      </c>
      <c r="H197" s="7" t="s">
        <v>1013</v>
      </c>
      <c r="I197" s="7" t="s">
        <v>999</v>
      </c>
      <c r="J197" s="7" t="s">
        <v>1132</v>
      </c>
      <c r="K197" s="7" t="str">
        <f>HYPERLINK("http://slimages.macys.com/is/image/MCY/3663850 ")</f>
        <v xml:space="preserve">http://slimages.macys.com/is/image/MCY/3663850 </v>
      </c>
    </row>
    <row r="198" spans="1:11" ht="20.100000000000001" customHeight="1" x14ac:dyDescent="0.25">
      <c r="A198" s="12" t="s">
        <v>1362</v>
      </c>
      <c r="B198" s="13">
        <v>13571386</v>
      </c>
      <c r="C198" s="8">
        <v>726895578331</v>
      </c>
      <c r="D198" s="6" t="s">
        <v>1314</v>
      </c>
      <c r="E198" s="18">
        <v>1</v>
      </c>
      <c r="F198" s="14">
        <v>29.99</v>
      </c>
      <c r="G198" s="14">
        <v>29.99</v>
      </c>
      <c r="H198" s="7" t="s">
        <v>976</v>
      </c>
      <c r="I198" s="7" t="s">
        <v>1046</v>
      </c>
      <c r="J198" s="7" t="s">
        <v>1047</v>
      </c>
      <c r="K198" s="7" t="str">
        <f>HYPERLINK("http://slimages.macys.com/is/image/MCY/9356828 ")</f>
        <v xml:space="preserve">http://slimages.macys.com/is/image/MCY/9356828 </v>
      </c>
    </row>
    <row r="199" spans="1:11" ht="20.100000000000001" customHeight="1" x14ac:dyDescent="0.25">
      <c r="A199" s="12" t="s">
        <v>1362</v>
      </c>
      <c r="B199" s="13">
        <v>13571386</v>
      </c>
      <c r="C199" s="8">
        <v>726895578539</v>
      </c>
      <c r="D199" s="6" t="s">
        <v>1602</v>
      </c>
      <c r="E199" s="18">
        <v>1</v>
      </c>
      <c r="F199" s="14">
        <v>19.989999999999998</v>
      </c>
      <c r="G199" s="14">
        <v>19.989999999999998</v>
      </c>
      <c r="H199" s="7" t="s">
        <v>941</v>
      </c>
      <c r="I199" s="7" t="s">
        <v>1046</v>
      </c>
      <c r="J199" s="7" t="s">
        <v>1047</v>
      </c>
      <c r="K199" s="7" t="str">
        <f>HYPERLINK("http://slimages.macys.com/is/image/MCY/9962009 ")</f>
        <v xml:space="preserve">http://slimages.macys.com/is/image/MCY/9962009 </v>
      </c>
    </row>
    <row r="200" spans="1:11" ht="20.100000000000001" customHeight="1" x14ac:dyDescent="0.25">
      <c r="A200" s="12" t="s">
        <v>1362</v>
      </c>
      <c r="B200" s="13">
        <v>13571386</v>
      </c>
      <c r="C200" s="8">
        <v>726895579246</v>
      </c>
      <c r="D200" s="6" t="s">
        <v>1045</v>
      </c>
      <c r="E200" s="18">
        <v>1</v>
      </c>
      <c r="F200" s="14">
        <v>29.99</v>
      </c>
      <c r="G200" s="14">
        <v>29.99</v>
      </c>
      <c r="H200" s="7" t="s">
        <v>981</v>
      </c>
      <c r="I200" s="7" t="s">
        <v>1046</v>
      </c>
      <c r="J200" s="7" t="s">
        <v>1047</v>
      </c>
      <c r="K200" s="7" t="str">
        <f>HYPERLINK("http://slimages.macys.com/is/image/MCY/9356840 ")</f>
        <v xml:space="preserve">http://slimages.macys.com/is/image/MCY/9356840 </v>
      </c>
    </row>
    <row r="201" spans="1:11" ht="20.100000000000001" customHeight="1" x14ac:dyDescent="0.25">
      <c r="A201" s="12" t="s">
        <v>1362</v>
      </c>
      <c r="B201" s="13">
        <v>13571386</v>
      </c>
      <c r="C201" s="8">
        <v>726895579260</v>
      </c>
      <c r="D201" s="6" t="s">
        <v>1603</v>
      </c>
      <c r="E201" s="18">
        <v>1</v>
      </c>
      <c r="F201" s="14">
        <v>29.99</v>
      </c>
      <c r="G201" s="14">
        <v>29.99</v>
      </c>
      <c r="H201" s="7" t="s">
        <v>976</v>
      </c>
      <c r="I201" s="7" t="s">
        <v>1046</v>
      </c>
      <c r="J201" s="7" t="s">
        <v>1047</v>
      </c>
      <c r="K201" s="7" t="str">
        <f>HYPERLINK("http://slimages.macys.com/is/image/MCY/9356840 ")</f>
        <v xml:space="preserve">http://slimages.macys.com/is/image/MCY/9356840 </v>
      </c>
    </row>
    <row r="202" spans="1:11" ht="20.100000000000001" customHeight="1" x14ac:dyDescent="0.25">
      <c r="A202" s="12" t="s">
        <v>1362</v>
      </c>
      <c r="B202" s="13">
        <v>13571386</v>
      </c>
      <c r="C202" s="8">
        <v>726895579574</v>
      </c>
      <c r="D202" s="6" t="s">
        <v>1315</v>
      </c>
      <c r="E202" s="18">
        <v>1</v>
      </c>
      <c r="F202" s="14">
        <v>29.99</v>
      </c>
      <c r="G202" s="14">
        <v>29.99</v>
      </c>
      <c r="H202" s="7" t="s">
        <v>941</v>
      </c>
      <c r="I202" s="7" t="s">
        <v>1046</v>
      </c>
      <c r="J202" s="7" t="s">
        <v>1047</v>
      </c>
      <c r="K202" s="7" t="str">
        <f>HYPERLINK("http://slimages.macys.com/is/image/MCY/9356962 ")</f>
        <v xml:space="preserve">http://slimages.macys.com/is/image/MCY/9356962 </v>
      </c>
    </row>
    <row r="203" spans="1:11" ht="20.100000000000001" customHeight="1" x14ac:dyDescent="0.25">
      <c r="A203" s="12" t="s">
        <v>1362</v>
      </c>
      <c r="B203" s="13">
        <v>13571386</v>
      </c>
      <c r="C203" s="8">
        <v>726895579581</v>
      </c>
      <c r="D203" s="6" t="s">
        <v>1604</v>
      </c>
      <c r="E203" s="18">
        <v>1</v>
      </c>
      <c r="F203" s="14">
        <v>29.99</v>
      </c>
      <c r="G203" s="14">
        <v>29.99</v>
      </c>
      <c r="H203" s="7" t="s">
        <v>1026</v>
      </c>
      <c r="I203" s="7" t="s">
        <v>1046</v>
      </c>
      <c r="J203" s="7" t="s">
        <v>1047</v>
      </c>
      <c r="K203" s="7" t="str">
        <f>HYPERLINK("http://slimages.macys.com/is/image/MCY/9356962 ")</f>
        <v xml:space="preserve">http://slimages.macys.com/is/image/MCY/9356962 </v>
      </c>
    </row>
    <row r="204" spans="1:11" ht="20.100000000000001" customHeight="1" x14ac:dyDescent="0.25">
      <c r="A204" s="12" t="s">
        <v>1362</v>
      </c>
      <c r="B204" s="13">
        <v>13571386</v>
      </c>
      <c r="C204" s="8">
        <v>726895579598</v>
      </c>
      <c r="D204" s="6" t="s">
        <v>1605</v>
      </c>
      <c r="E204" s="18">
        <v>1</v>
      </c>
      <c r="F204" s="14">
        <v>29.99</v>
      </c>
      <c r="G204" s="14">
        <v>29.99</v>
      </c>
      <c r="H204" s="7" t="s">
        <v>981</v>
      </c>
      <c r="I204" s="7" t="s">
        <v>1046</v>
      </c>
      <c r="J204" s="7" t="s">
        <v>1047</v>
      </c>
      <c r="K204" s="7" t="str">
        <f>HYPERLINK("http://slimages.macys.com/is/image/MCY/9356962 ")</f>
        <v xml:space="preserve">http://slimages.macys.com/is/image/MCY/9356962 </v>
      </c>
    </row>
    <row r="205" spans="1:11" ht="20.100000000000001" customHeight="1" x14ac:dyDescent="0.25">
      <c r="A205" s="12" t="s">
        <v>1362</v>
      </c>
      <c r="B205" s="13">
        <v>13571386</v>
      </c>
      <c r="C205" s="8">
        <v>726895579598</v>
      </c>
      <c r="D205" s="6" t="s">
        <v>1605</v>
      </c>
      <c r="E205" s="18">
        <v>1</v>
      </c>
      <c r="F205" s="14">
        <v>29.99</v>
      </c>
      <c r="G205" s="14">
        <v>29.99</v>
      </c>
      <c r="H205" s="7" t="s">
        <v>981</v>
      </c>
      <c r="I205" s="7" t="s">
        <v>1046</v>
      </c>
      <c r="J205" s="7" t="s">
        <v>1047</v>
      </c>
      <c r="K205" s="7" t="str">
        <f>HYPERLINK("http://slimages.macys.com/is/image/MCY/9356962 ")</f>
        <v xml:space="preserve">http://slimages.macys.com/is/image/MCY/9356962 </v>
      </c>
    </row>
    <row r="206" spans="1:11" ht="20.100000000000001" customHeight="1" x14ac:dyDescent="0.25">
      <c r="A206" s="12" t="s">
        <v>1362</v>
      </c>
      <c r="B206" s="13">
        <v>13571386</v>
      </c>
      <c r="C206" s="8">
        <v>726895680812</v>
      </c>
      <c r="D206" s="6" t="s">
        <v>1606</v>
      </c>
      <c r="E206" s="18">
        <v>1</v>
      </c>
      <c r="F206" s="14">
        <v>249.99</v>
      </c>
      <c r="G206" s="14">
        <v>249.99</v>
      </c>
      <c r="H206" s="7" t="s">
        <v>1013</v>
      </c>
      <c r="I206" s="7" t="s">
        <v>956</v>
      </c>
      <c r="J206" s="7" t="s">
        <v>1107</v>
      </c>
      <c r="K206" s="7" t="str">
        <f>HYPERLINK("http://slimages.macys.com/is/image/MCY/9619546 ")</f>
        <v xml:space="preserve">http://slimages.macys.com/is/image/MCY/9619546 </v>
      </c>
    </row>
    <row r="207" spans="1:11" ht="20.100000000000001" customHeight="1" x14ac:dyDescent="0.25">
      <c r="A207" s="12" t="s">
        <v>1362</v>
      </c>
      <c r="B207" s="13">
        <v>13571386</v>
      </c>
      <c r="C207" s="8">
        <v>732994072397</v>
      </c>
      <c r="D207" s="6" t="s">
        <v>1216</v>
      </c>
      <c r="E207" s="18">
        <v>1</v>
      </c>
      <c r="F207" s="14">
        <v>29.99</v>
      </c>
      <c r="G207" s="14">
        <v>29.99</v>
      </c>
      <c r="H207" s="7" t="s">
        <v>994</v>
      </c>
      <c r="I207" s="7" t="s">
        <v>1058</v>
      </c>
      <c r="J207" s="7" t="s">
        <v>1202</v>
      </c>
      <c r="K207" s="7" t="str">
        <f>HYPERLINK("http://slimages.macys.com/is/image/MCY/9555756 ")</f>
        <v xml:space="preserve">http://slimages.macys.com/is/image/MCY/9555756 </v>
      </c>
    </row>
    <row r="208" spans="1:11" ht="20.100000000000001" customHeight="1" x14ac:dyDescent="0.25">
      <c r="A208" s="12" t="s">
        <v>1362</v>
      </c>
      <c r="B208" s="13">
        <v>13571386</v>
      </c>
      <c r="C208" s="8">
        <v>732994459303</v>
      </c>
      <c r="D208" s="6" t="s">
        <v>1218</v>
      </c>
      <c r="E208" s="18">
        <v>1</v>
      </c>
      <c r="F208" s="14">
        <v>39.99</v>
      </c>
      <c r="G208" s="14">
        <v>39.99</v>
      </c>
      <c r="H208" s="7" t="s">
        <v>1104</v>
      </c>
      <c r="I208" s="7" t="s">
        <v>1097</v>
      </c>
      <c r="J208" s="7" t="s">
        <v>1098</v>
      </c>
      <c r="K208" s="7" t="str">
        <f>HYPERLINK("http://slimages.macys.com/is/image/MCY/9997440 ")</f>
        <v xml:space="preserve">http://slimages.macys.com/is/image/MCY/9997440 </v>
      </c>
    </row>
    <row r="209" spans="1:11" ht="20.100000000000001" customHeight="1" x14ac:dyDescent="0.25">
      <c r="A209" s="12" t="s">
        <v>1362</v>
      </c>
      <c r="B209" s="13">
        <v>13571386</v>
      </c>
      <c r="C209" s="8">
        <v>732994556736</v>
      </c>
      <c r="D209" s="6" t="s">
        <v>1607</v>
      </c>
      <c r="E209" s="18">
        <v>1</v>
      </c>
      <c r="F209" s="14">
        <v>100</v>
      </c>
      <c r="G209" s="14">
        <v>100</v>
      </c>
      <c r="H209" s="7" t="s">
        <v>941</v>
      </c>
      <c r="I209" s="7" t="s">
        <v>956</v>
      </c>
      <c r="J209" s="7" t="s">
        <v>1608</v>
      </c>
      <c r="K209" s="7" t="str">
        <f>HYPERLINK("http://images.bloomingdales.com/is/image/BLM/9088359 ")</f>
        <v xml:space="preserve">http://images.bloomingdales.com/is/image/BLM/9088359 </v>
      </c>
    </row>
    <row r="210" spans="1:11" ht="20.100000000000001" customHeight="1" x14ac:dyDescent="0.25">
      <c r="A210" s="12" t="s">
        <v>1362</v>
      </c>
      <c r="B210" s="13">
        <v>13571386</v>
      </c>
      <c r="C210" s="8">
        <v>732994628648</v>
      </c>
      <c r="D210" s="6" t="s">
        <v>1007</v>
      </c>
      <c r="E210" s="18">
        <v>2</v>
      </c>
      <c r="F210" s="14">
        <v>119.99</v>
      </c>
      <c r="G210" s="14">
        <v>239.98</v>
      </c>
      <c r="H210" s="7" t="s">
        <v>941</v>
      </c>
      <c r="I210" s="7" t="s">
        <v>969</v>
      </c>
      <c r="J210" s="7" t="s">
        <v>1008</v>
      </c>
      <c r="K210" s="7" t="str">
        <f>HYPERLINK("http://slimages.macys.com/is/image/MCY/10015969 ")</f>
        <v xml:space="preserve">http://slimages.macys.com/is/image/MCY/10015969 </v>
      </c>
    </row>
    <row r="211" spans="1:11" ht="20.100000000000001" customHeight="1" x14ac:dyDescent="0.25">
      <c r="A211" s="12" t="s">
        <v>1362</v>
      </c>
      <c r="B211" s="13">
        <v>13571386</v>
      </c>
      <c r="C211" s="8">
        <v>732994628792</v>
      </c>
      <c r="D211" s="6" t="s">
        <v>1609</v>
      </c>
      <c r="E211" s="18">
        <v>3</v>
      </c>
      <c r="F211" s="14">
        <v>129.99</v>
      </c>
      <c r="G211" s="14">
        <v>389.97</v>
      </c>
      <c r="H211" s="7" t="s">
        <v>941</v>
      </c>
      <c r="I211" s="7" t="s">
        <v>969</v>
      </c>
      <c r="J211" s="7" t="s">
        <v>1008</v>
      </c>
      <c r="K211" s="7" t="str">
        <f>HYPERLINK("http://slimages.macys.com/is/image/MCY/10015969 ")</f>
        <v xml:space="preserve">http://slimages.macys.com/is/image/MCY/10015969 </v>
      </c>
    </row>
    <row r="212" spans="1:11" ht="20.100000000000001" customHeight="1" x14ac:dyDescent="0.25">
      <c r="A212" s="12" t="s">
        <v>1362</v>
      </c>
      <c r="B212" s="13">
        <v>13571386</v>
      </c>
      <c r="C212" s="8">
        <v>732994719469</v>
      </c>
      <c r="D212" s="6" t="s">
        <v>1610</v>
      </c>
      <c r="E212" s="18">
        <v>1</v>
      </c>
      <c r="F212" s="14">
        <v>79.989999999999995</v>
      </c>
      <c r="G212" s="14">
        <v>79.989999999999995</v>
      </c>
      <c r="H212" s="7" t="s">
        <v>991</v>
      </c>
      <c r="I212" s="7" t="s">
        <v>971</v>
      </c>
      <c r="J212" s="7" t="s">
        <v>972</v>
      </c>
      <c r="K212" s="7" t="str">
        <f>HYPERLINK("http://slimages.macys.com/is/image/MCY/9971657 ")</f>
        <v xml:space="preserve">http://slimages.macys.com/is/image/MCY/9971657 </v>
      </c>
    </row>
    <row r="213" spans="1:11" ht="20.100000000000001" customHeight="1" x14ac:dyDescent="0.25">
      <c r="A213" s="12" t="s">
        <v>1362</v>
      </c>
      <c r="B213" s="13">
        <v>13571386</v>
      </c>
      <c r="C213" s="8">
        <v>732994723695</v>
      </c>
      <c r="D213" s="6" t="s">
        <v>1158</v>
      </c>
      <c r="E213" s="18">
        <v>1</v>
      </c>
      <c r="F213" s="14">
        <v>179.99</v>
      </c>
      <c r="G213" s="14">
        <v>179.99</v>
      </c>
      <c r="H213" s="7" t="s">
        <v>944</v>
      </c>
      <c r="I213" s="7" t="s">
        <v>1080</v>
      </c>
      <c r="J213" s="7" t="s">
        <v>1117</v>
      </c>
      <c r="K213" s="7" t="str">
        <f>HYPERLINK("http://slimages.macys.com/is/image/MCY/10264817 ")</f>
        <v xml:space="preserve">http://slimages.macys.com/is/image/MCY/10264817 </v>
      </c>
    </row>
    <row r="214" spans="1:11" ht="20.100000000000001" customHeight="1" x14ac:dyDescent="0.25">
      <c r="A214" s="12" t="s">
        <v>1362</v>
      </c>
      <c r="B214" s="13">
        <v>13571386</v>
      </c>
      <c r="C214" s="8">
        <v>732995157895</v>
      </c>
      <c r="D214" s="6" t="s">
        <v>1611</v>
      </c>
      <c r="E214" s="18">
        <v>1</v>
      </c>
      <c r="F214" s="14">
        <v>79.989999999999995</v>
      </c>
      <c r="G214" s="14">
        <v>79.989999999999995</v>
      </c>
      <c r="H214" s="7" t="s">
        <v>1030</v>
      </c>
      <c r="I214" s="7" t="s">
        <v>969</v>
      </c>
      <c r="J214" s="7" t="s">
        <v>970</v>
      </c>
      <c r="K214" s="7" t="str">
        <f>HYPERLINK("http://slimages.macys.com/is/image/MCY/11534834 ")</f>
        <v xml:space="preserve">http://slimages.macys.com/is/image/MCY/11534834 </v>
      </c>
    </row>
    <row r="215" spans="1:11" ht="20.100000000000001" customHeight="1" x14ac:dyDescent="0.25">
      <c r="A215" s="12" t="s">
        <v>1362</v>
      </c>
      <c r="B215" s="13">
        <v>13571386</v>
      </c>
      <c r="C215" s="8">
        <v>732995169676</v>
      </c>
      <c r="D215" s="6" t="s">
        <v>1291</v>
      </c>
      <c r="E215" s="18">
        <v>1</v>
      </c>
      <c r="F215" s="14">
        <v>39.99</v>
      </c>
      <c r="G215" s="14">
        <v>39.99</v>
      </c>
      <c r="H215" s="7" t="s">
        <v>991</v>
      </c>
      <c r="I215" s="7" t="s">
        <v>969</v>
      </c>
      <c r="J215" s="7" t="s">
        <v>970</v>
      </c>
      <c r="K215" s="7" t="str">
        <f>HYPERLINK("http://slimages.macys.com/is/image/MCY/8433239 ")</f>
        <v xml:space="preserve">http://slimages.macys.com/is/image/MCY/8433239 </v>
      </c>
    </row>
    <row r="216" spans="1:11" ht="20.100000000000001" customHeight="1" x14ac:dyDescent="0.25">
      <c r="A216" s="12" t="s">
        <v>1362</v>
      </c>
      <c r="B216" s="13">
        <v>13571386</v>
      </c>
      <c r="C216" s="8">
        <v>732995554977</v>
      </c>
      <c r="D216" s="6" t="s">
        <v>1612</v>
      </c>
      <c r="E216" s="18">
        <v>1</v>
      </c>
      <c r="F216" s="14">
        <v>89.99</v>
      </c>
      <c r="G216" s="14">
        <v>89.99</v>
      </c>
      <c r="H216" s="7" t="s">
        <v>1095</v>
      </c>
      <c r="I216" s="7" t="s">
        <v>969</v>
      </c>
      <c r="J216" s="7" t="s">
        <v>1348</v>
      </c>
      <c r="K216" s="7" t="str">
        <f>HYPERLINK("http://slimages.macys.com/is/image/MCY/11518009 ")</f>
        <v xml:space="preserve">http://slimages.macys.com/is/image/MCY/11518009 </v>
      </c>
    </row>
    <row r="217" spans="1:11" ht="20.100000000000001" customHeight="1" x14ac:dyDescent="0.25">
      <c r="A217" s="12" t="s">
        <v>1362</v>
      </c>
      <c r="B217" s="13">
        <v>13571386</v>
      </c>
      <c r="C217" s="8">
        <v>732995797633</v>
      </c>
      <c r="D217" s="6" t="s">
        <v>1613</v>
      </c>
      <c r="E217" s="18">
        <v>1</v>
      </c>
      <c r="F217" s="14">
        <v>24.99</v>
      </c>
      <c r="G217" s="14">
        <v>24.99</v>
      </c>
      <c r="H217" s="7" t="s">
        <v>1095</v>
      </c>
      <c r="I217" s="7" t="s">
        <v>1046</v>
      </c>
      <c r="J217" s="7" t="s">
        <v>1047</v>
      </c>
      <c r="K217" s="7" t="str">
        <f>HYPERLINK("http://slimages.macys.com/is/image/MCY/9408114 ")</f>
        <v xml:space="preserve">http://slimages.macys.com/is/image/MCY/9408114 </v>
      </c>
    </row>
    <row r="218" spans="1:11" ht="20.100000000000001" customHeight="1" x14ac:dyDescent="0.25">
      <c r="A218" s="12" t="s">
        <v>1362</v>
      </c>
      <c r="B218" s="13">
        <v>13571386</v>
      </c>
      <c r="C218" s="8">
        <v>732996226668</v>
      </c>
      <c r="D218" s="6" t="s">
        <v>1614</v>
      </c>
      <c r="E218" s="18">
        <v>1</v>
      </c>
      <c r="F218" s="14">
        <v>79.989999999999995</v>
      </c>
      <c r="G218" s="14">
        <v>79.989999999999995</v>
      </c>
      <c r="H218" s="7" t="s">
        <v>941</v>
      </c>
      <c r="I218" s="7" t="s">
        <v>956</v>
      </c>
      <c r="J218" s="7" t="s">
        <v>1107</v>
      </c>
      <c r="K218" s="7" t="str">
        <f>HYPERLINK("http://slimages.macys.com/is/image/MCY/12873884 ")</f>
        <v xml:space="preserve">http://slimages.macys.com/is/image/MCY/12873884 </v>
      </c>
    </row>
    <row r="219" spans="1:11" ht="20.100000000000001" customHeight="1" x14ac:dyDescent="0.25">
      <c r="A219" s="12" t="s">
        <v>1362</v>
      </c>
      <c r="B219" s="13">
        <v>13571386</v>
      </c>
      <c r="C219" s="8">
        <v>732996957944</v>
      </c>
      <c r="D219" s="6" t="s">
        <v>1615</v>
      </c>
      <c r="E219" s="18">
        <v>1</v>
      </c>
      <c r="F219" s="14">
        <v>19.989999999999998</v>
      </c>
      <c r="G219" s="14">
        <v>19.989999999999998</v>
      </c>
      <c r="H219" s="7" t="s">
        <v>1616</v>
      </c>
      <c r="I219" s="7" t="s">
        <v>1221</v>
      </c>
      <c r="J219" s="7" t="s">
        <v>1172</v>
      </c>
      <c r="K219" s="7" t="str">
        <f>HYPERLINK("http://slimages.macys.com/is/image/MCY/15101702 ")</f>
        <v xml:space="preserve">http://slimages.macys.com/is/image/MCY/15101702 </v>
      </c>
    </row>
    <row r="220" spans="1:11" ht="20.100000000000001" customHeight="1" x14ac:dyDescent="0.25">
      <c r="A220" s="12" t="s">
        <v>1362</v>
      </c>
      <c r="B220" s="13">
        <v>13571386</v>
      </c>
      <c r="C220" s="8">
        <v>732996957968</v>
      </c>
      <c r="D220" s="6" t="s">
        <v>1617</v>
      </c>
      <c r="E220" s="18">
        <v>1</v>
      </c>
      <c r="F220" s="14">
        <v>19.989999999999998</v>
      </c>
      <c r="G220" s="14">
        <v>19.989999999999998</v>
      </c>
      <c r="H220" s="7" t="s">
        <v>984</v>
      </c>
      <c r="I220" s="7" t="s">
        <v>1221</v>
      </c>
      <c r="J220" s="7" t="s">
        <v>1172</v>
      </c>
      <c r="K220" s="7" t="str">
        <f>HYPERLINK("http://slimages.macys.com/is/image/MCY/15101702 ")</f>
        <v xml:space="preserve">http://slimages.macys.com/is/image/MCY/15101702 </v>
      </c>
    </row>
    <row r="221" spans="1:11" ht="20.100000000000001" customHeight="1" x14ac:dyDescent="0.25">
      <c r="A221" s="12" t="s">
        <v>1362</v>
      </c>
      <c r="B221" s="13">
        <v>13571386</v>
      </c>
      <c r="C221" s="8">
        <v>732996989013</v>
      </c>
      <c r="D221" s="6" t="s">
        <v>1618</v>
      </c>
      <c r="E221" s="18">
        <v>1</v>
      </c>
      <c r="F221" s="14">
        <v>34.99</v>
      </c>
      <c r="G221" s="14">
        <v>34.99</v>
      </c>
      <c r="H221" s="7" t="s">
        <v>963</v>
      </c>
      <c r="I221" s="7" t="s">
        <v>1097</v>
      </c>
      <c r="J221" s="7" t="s">
        <v>1098</v>
      </c>
      <c r="K221" s="7" t="str">
        <f>HYPERLINK("http://slimages.macys.com/is/image/MCY/14601410 ")</f>
        <v xml:space="preserve">http://slimages.macys.com/is/image/MCY/14601410 </v>
      </c>
    </row>
    <row r="222" spans="1:11" ht="20.100000000000001" customHeight="1" x14ac:dyDescent="0.25">
      <c r="A222" s="12" t="s">
        <v>1362</v>
      </c>
      <c r="B222" s="13">
        <v>13571386</v>
      </c>
      <c r="C222" s="8">
        <v>732997005231</v>
      </c>
      <c r="D222" s="6" t="s">
        <v>1619</v>
      </c>
      <c r="E222" s="18">
        <v>1</v>
      </c>
      <c r="F222" s="14">
        <v>24.99</v>
      </c>
      <c r="G222" s="14">
        <v>24.99</v>
      </c>
      <c r="H222" s="7" t="s">
        <v>952</v>
      </c>
      <c r="I222" s="7" t="s">
        <v>1046</v>
      </c>
      <c r="J222" s="7" t="s">
        <v>1215</v>
      </c>
      <c r="K222" s="7" t="str">
        <f>HYPERLINK("http://slimages.macys.com/is/image/MCY/14718151 ")</f>
        <v xml:space="preserve">http://slimages.macys.com/is/image/MCY/14718151 </v>
      </c>
    </row>
    <row r="223" spans="1:11" ht="20.100000000000001" customHeight="1" x14ac:dyDescent="0.25">
      <c r="A223" s="12" t="s">
        <v>1362</v>
      </c>
      <c r="B223" s="13">
        <v>13571386</v>
      </c>
      <c r="C223" s="8">
        <v>732997069776</v>
      </c>
      <c r="D223" s="6" t="s">
        <v>1620</v>
      </c>
      <c r="E223" s="18">
        <v>2</v>
      </c>
      <c r="F223" s="14">
        <v>44.99</v>
      </c>
      <c r="G223" s="14">
        <v>89.98</v>
      </c>
      <c r="H223" s="7" t="s">
        <v>991</v>
      </c>
      <c r="I223" s="7" t="s">
        <v>969</v>
      </c>
      <c r="J223" s="7" t="s">
        <v>970</v>
      </c>
      <c r="K223" s="7" t="str">
        <f>HYPERLINK("http://slimages.macys.com/is/image/MCY/13689104 ")</f>
        <v xml:space="preserve">http://slimages.macys.com/is/image/MCY/13689104 </v>
      </c>
    </row>
    <row r="224" spans="1:11" ht="20.100000000000001" customHeight="1" x14ac:dyDescent="0.25">
      <c r="A224" s="12" t="s">
        <v>1362</v>
      </c>
      <c r="B224" s="13">
        <v>13571386</v>
      </c>
      <c r="C224" s="8">
        <v>732997256312</v>
      </c>
      <c r="D224" s="6" t="s">
        <v>1621</v>
      </c>
      <c r="E224" s="18">
        <v>1</v>
      </c>
      <c r="F224" s="14">
        <v>64.989999999999995</v>
      </c>
      <c r="G224" s="14">
        <v>64.989999999999995</v>
      </c>
      <c r="H224" s="7" t="s">
        <v>938</v>
      </c>
      <c r="I224" s="7" t="s">
        <v>956</v>
      </c>
      <c r="J224" s="7" t="s">
        <v>1107</v>
      </c>
      <c r="K224" s="7" t="str">
        <f>HYPERLINK("http://slimages.macys.com/is/image/MCY/14788489 ")</f>
        <v xml:space="preserve">http://slimages.macys.com/is/image/MCY/14788489 </v>
      </c>
    </row>
    <row r="225" spans="1:11" ht="20.100000000000001" customHeight="1" x14ac:dyDescent="0.25">
      <c r="A225" s="12" t="s">
        <v>1362</v>
      </c>
      <c r="B225" s="13">
        <v>13571386</v>
      </c>
      <c r="C225" s="8">
        <v>732997493137</v>
      </c>
      <c r="D225" s="6" t="s">
        <v>1269</v>
      </c>
      <c r="E225" s="18">
        <v>1</v>
      </c>
      <c r="F225" s="14">
        <v>149.99</v>
      </c>
      <c r="G225" s="14">
        <v>149.99</v>
      </c>
      <c r="H225" s="7" t="s">
        <v>941</v>
      </c>
      <c r="I225" s="7" t="s">
        <v>969</v>
      </c>
      <c r="J225" s="7" t="s">
        <v>970</v>
      </c>
      <c r="K225" s="7" t="str">
        <f>HYPERLINK("http://slimages.macys.com/is/image/MCY/14883564 ")</f>
        <v xml:space="preserve">http://slimages.macys.com/is/image/MCY/14883564 </v>
      </c>
    </row>
    <row r="226" spans="1:11" ht="20.100000000000001" customHeight="1" x14ac:dyDescent="0.25">
      <c r="A226" s="12" t="s">
        <v>1362</v>
      </c>
      <c r="B226" s="13">
        <v>13571386</v>
      </c>
      <c r="C226" s="8">
        <v>732997493977</v>
      </c>
      <c r="D226" s="6" t="s">
        <v>1131</v>
      </c>
      <c r="E226" s="18">
        <v>1</v>
      </c>
      <c r="F226" s="14">
        <v>149.99</v>
      </c>
      <c r="G226" s="14">
        <v>149.99</v>
      </c>
      <c r="H226" s="7" t="s">
        <v>1013</v>
      </c>
      <c r="I226" s="7" t="s">
        <v>969</v>
      </c>
      <c r="J226" s="7" t="s">
        <v>970</v>
      </c>
      <c r="K226" s="7" t="str">
        <f>HYPERLINK("http://slimages.macys.com/is/image/MCY/15389610 ")</f>
        <v xml:space="preserve">http://slimages.macys.com/is/image/MCY/15389610 </v>
      </c>
    </row>
    <row r="227" spans="1:11" ht="20.100000000000001" customHeight="1" x14ac:dyDescent="0.25">
      <c r="A227" s="12" t="s">
        <v>1362</v>
      </c>
      <c r="B227" s="13">
        <v>13571386</v>
      </c>
      <c r="C227" s="8">
        <v>732997747780</v>
      </c>
      <c r="D227" s="6" t="s">
        <v>1622</v>
      </c>
      <c r="E227" s="18">
        <v>1</v>
      </c>
      <c r="F227" s="14">
        <v>44.99</v>
      </c>
      <c r="G227" s="14">
        <v>44.99</v>
      </c>
      <c r="H227" s="7" t="s">
        <v>1050</v>
      </c>
      <c r="I227" s="7" t="s">
        <v>1080</v>
      </c>
      <c r="J227" s="7" t="s">
        <v>1120</v>
      </c>
      <c r="K227" s="7" t="str">
        <f>HYPERLINK("http://slimages.macys.com/is/image/MCY/14722999 ")</f>
        <v xml:space="preserve">http://slimages.macys.com/is/image/MCY/14722999 </v>
      </c>
    </row>
    <row r="228" spans="1:11" ht="20.100000000000001" customHeight="1" x14ac:dyDescent="0.25">
      <c r="A228" s="12" t="s">
        <v>1362</v>
      </c>
      <c r="B228" s="13">
        <v>13571386</v>
      </c>
      <c r="C228" s="8">
        <v>732997906514</v>
      </c>
      <c r="D228" s="6" t="s">
        <v>385</v>
      </c>
      <c r="E228" s="18">
        <v>2</v>
      </c>
      <c r="F228" s="14">
        <v>79.989999999999995</v>
      </c>
      <c r="G228" s="14">
        <v>159.97999999999999</v>
      </c>
      <c r="H228" s="7" t="s">
        <v>1095</v>
      </c>
      <c r="I228" s="7" t="s">
        <v>956</v>
      </c>
      <c r="J228" s="7" t="s">
        <v>1014</v>
      </c>
      <c r="K228" s="7" t="str">
        <f>HYPERLINK("http://slimages.macys.com/is/image/MCY/15767052 ")</f>
        <v xml:space="preserve">http://slimages.macys.com/is/image/MCY/15767052 </v>
      </c>
    </row>
    <row r="229" spans="1:11" ht="20.100000000000001" customHeight="1" x14ac:dyDescent="0.25">
      <c r="A229" s="12" t="s">
        <v>1362</v>
      </c>
      <c r="B229" s="13">
        <v>13571386</v>
      </c>
      <c r="C229" s="8">
        <v>732997906545</v>
      </c>
      <c r="D229" s="6" t="s">
        <v>386</v>
      </c>
      <c r="E229" s="18">
        <v>1</v>
      </c>
      <c r="F229" s="14">
        <v>89.99</v>
      </c>
      <c r="G229" s="14">
        <v>89.99</v>
      </c>
      <c r="H229" s="7" t="s">
        <v>1095</v>
      </c>
      <c r="I229" s="7" t="s">
        <v>956</v>
      </c>
      <c r="J229" s="7" t="s">
        <v>1014</v>
      </c>
      <c r="K229" s="7" t="str">
        <f>HYPERLINK("http://slimages.macys.com/is/image/MCY/15767057 ")</f>
        <v xml:space="preserve">http://slimages.macys.com/is/image/MCY/15767057 </v>
      </c>
    </row>
    <row r="230" spans="1:11" ht="20.100000000000001" customHeight="1" x14ac:dyDescent="0.25">
      <c r="A230" s="12" t="s">
        <v>1362</v>
      </c>
      <c r="B230" s="13">
        <v>13571386</v>
      </c>
      <c r="C230" s="8">
        <v>732997906613</v>
      </c>
      <c r="D230" s="6" t="s">
        <v>1148</v>
      </c>
      <c r="E230" s="18">
        <v>1</v>
      </c>
      <c r="F230" s="14">
        <v>329.99</v>
      </c>
      <c r="G230" s="14">
        <v>329.99</v>
      </c>
      <c r="H230" s="7" t="s">
        <v>1095</v>
      </c>
      <c r="I230" s="7" t="s">
        <v>956</v>
      </c>
      <c r="J230" s="7" t="s">
        <v>1014</v>
      </c>
      <c r="K230" s="7" t="str">
        <f>HYPERLINK("http://slimages.macys.com/is/image/MCY/15767044 ")</f>
        <v xml:space="preserve">http://slimages.macys.com/is/image/MCY/15767044 </v>
      </c>
    </row>
    <row r="231" spans="1:11" ht="20.100000000000001" customHeight="1" x14ac:dyDescent="0.25">
      <c r="A231" s="12" t="s">
        <v>1362</v>
      </c>
      <c r="B231" s="13">
        <v>13571386</v>
      </c>
      <c r="C231" s="8">
        <v>732998330288</v>
      </c>
      <c r="D231" s="6" t="s">
        <v>387</v>
      </c>
      <c r="E231" s="18">
        <v>1</v>
      </c>
      <c r="F231" s="14">
        <v>249.99</v>
      </c>
      <c r="G231" s="14">
        <v>249.99</v>
      </c>
      <c r="H231" s="7" t="s">
        <v>941</v>
      </c>
      <c r="I231" s="7" t="s">
        <v>956</v>
      </c>
      <c r="J231" s="7" t="s">
        <v>1014</v>
      </c>
      <c r="K231" s="7" t="str">
        <f>HYPERLINK("http://slimages.macys.com/is/image/MCY/16381596 ")</f>
        <v xml:space="preserve">http://slimages.macys.com/is/image/MCY/16381596 </v>
      </c>
    </row>
    <row r="232" spans="1:11" ht="20.100000000000001" customHeight="1" x14ac:dyDescent="0.25">
      <c r="A232" s="12" t="s">
        <v>1362</v>
      </c>
      <c r="B232" s="13">
        <v>13571386</v>
      </c>
      <c r="C232" s="8">
        <v>732998859208</v>
      </c>
      <c r="D232" s="6" t="s">
        <v>388</v>
      </c>
      <c r="E232" s="18">
        <v>1</v>
      </c>
      <c r="F232" s="14">
        <v>139.99</v>
      </c>
      <c r="G232" s="14">
        <v>139.99</v>
      </c>
      <c r="H232" s="7" t="s">
        <v>1095</v>
      </c>
      <c r="I232" s="7" t="s">
        <v>1097</v>
      </c>
      <c r="J232" s="7" t="s">
        <v>1098</v>
      </c>
      <c r="K232" s="7" t="str">
        <f>HYPERLINK("http://slimages.macys.com/is/image/MCY/17025610 ")</f>
        <v xml:space="preserve">http://slimages.macys.com/is/image/MCY/17025610 </v>
      </c>
    </row>
    <row r="233" spans="1:11" ht="20.100000000000001" customHeight="1" x14ac:dyDescent="0.25">
      <c r="A233" s="12" t="s">
        <v>1362</v>
      </c>
      <c r="B233" s="13">
        <v>13571386</v>
      </c>
      <c r="C233" s="8">
        <v>732998859338</v>
      </c>
      <c r="D233" s="6" t="s">
        <v>389</v>
      </c>
      <c r="E233" s="18">
        <v>5</v>
      </c>
      <c r="F233" s="14">
        <v>39.99</v>
      </c>
      <c r="G233" s="14">
        <v>199.95</v>
      </c>
      <c r="H233" s="7" t="s">
        <v>952</v>
      </c>
      <c r="I233" s="7" t="s">
        <v>1097</v>
      </c>
      <c r="J233" s="7" t="s">
        <v>1098</v>
      </c>
      <c r="K233" s="7" t="str">
        <f>HYPERLINK("http://slimages.macys.com/is/image/MCY/17025628 ")</f>
        <v xml:space="preserve">http://slimages.macys.com/is/image/MCY/17025628 </v>
      </c>
    </row>
    <row r="234" spans="1:11" ht="20.100000000000001" customHeight="1" x14ac:dyDescent="0.25">
      <c r="A234" s="12" t="s">
        <v>1362</v>
      </c>
      <c r="B234" s="13">
        <v>13571386</v>
      </c>
      <c r="C234" s="8">
        <v>732998868095</v>
      </c>
      <c r="D234" s="6" t="s">
        <v>390</v>
      </c>
      <c r="E234" s="18">
        <v>1</v>
      </c>
      <c r="F234" s="14">
        <v>119.99</v>
      </c>
      <c r="G234" s="14">
        <v>119.99</v>
      </c>
      <c r="H234" s="7" t="s">
        <v>1023</v>
      </c>
      <c r="I234" s="7" t="s">
        <v>1080</v>
      </c>
      <c r="J234" s="7" t="s">
        <v>1120</v>
      </c>
      <c r="K234" s="7" t="str">
        <f>HYPERLINK("http://slimages.macys.com/is/image/MCY/16334138 ")</f>
        <v xml:space="preserve">http://slimages.macys.com/is/image/MCY/16334138 </v>
      </c>
    </row>
    <row r="235" spans="1:11" ht="20.100000000000001" customHeight="1" x14ac:dyDescent="0.25">
      <c r="A235" s="12" t="s">
        <v>1362</v>
      </c>
      <c r="B235" s="13">
        <v>13571386</v>
      </c>
      <c r="C235" s="8">
        <v>732998868248</v>
      </c>
      <c r="D235" s="6" t="s">
        <v>391</v>
      </c>
      <c r="E235" s="18">
        <v>1</v>
      </c>
      <c r="F235" s="14">
        <v>99.99</v>
      </c>
      <c r="G235" s="14">
        <v>99.99</v>
      </c>
      <c r="H235" s="7" t="s">
        <v>944</v>
      </c>
      <c r="I235" s="7" t="s">
        <v>1080</v>
      </c>
      <c r="J235" s="7" t="s">
        <v>1120</v>
      </c>
      <c r="K235" s="7" t="str">
        <f>HYPERLINK("http://slimages.macys.com/is/image/MCY/16334131 ")</f>
        <v xml:space="preserve">http://slimages.macys.com/is/image/MCY/16334131 </v>
      </c>
    </row>
    <row r="236" spans="1:11" ht="20.100000000000001" customHeight="1" x14ac:dyDescent="0.25">
      <c r="A236" s="12" t="s">
        <v>1362</v>
      </c>
      <c r="B236" s="13">
        <v>13571386</v>
      </c>
      <c r="C236" s="8">
        <v>732999521579</v>
      </c>
      <c r="D236" s="6" t="s">
        <v>392</v>
      </c>
      <c r="E236" s="18">
        <v>1</v>
      </c>
      <c r="F236" s="14">
        <v>69.989999999999995</v>
      </c>
      <c r="G236" s="14">
        <v>69.989999999999995</v>
      </c>
      <c r="H236" s="7" t="s">
        <v>941</v>
      </c>
      <c r="I236" s="7" t="s">
        <v>956</v>
      </c>
      <c r="J236" s="7" t="s">
        <v>1100</v>
      </c>
      <c r="K236" s="7" t="str">
        <f>HYPERLINK("http://slimages.macys.com/is/image/MCY/17481074 ")</f>
        <v xml:space="preserve">http://slimages.macys.com/is/image/MCY/17481074 </v>
      </c>
    </row>
    <row r="237" spans="1:11" ht="20.100000000000001" customHeight="1" x14ac:dyDescent="0.25">
      <c r="A237" s="12" t="s">
        <v>1362</v>
      </c>
      <c r="B237" s="13">
        <v>13571386</v>
      </c>
      <c r="C237" s="8">
        <v>732999609772</v>
      </c>
      <c r="D237" s="6" t="s">
        <v>393</v>
      </c>
      <c r="E237" s="18">
        <v>1</v>
      </c>
      <c r="F237" s="14">
        <v>79.989999999999995</v>
      </c>
      <c r="G237" s="14">
        <v>79.989999999999995</v>
      </c>
      <c r="H237" s="7" t="s">
        <v>1013</v>
      </c>
      <c r="I237" s="7" t="s">
        <v>956</v>
      </c>
      <c r="J237" s="7" t="s">
        <v>1107</v>
      </c>
      <c r="K237" s="7" t="str">
        <f>HYPERLINK("http://slimages.macys.com/is/image/MCY/17531798 ")</f>
        <v xml:space="preserve">http://slimages.macys.com/is/image/MCY/17531798 </v>
      </c>
    </row>
    <row r="238" spans="1:11" ht="20.100000000000001" customHeight="1" x14ac:dyDescent="0.25">
      <c r="A238" s="12" t="s">
        <v>1362</v>
      </c>
      <c r="B238" s="13">
        <v>13571386</v>
      </c>
      <c r="C238" s="8">
        <v>732999620074</v>
      </c>
      <c r="D238" s="6" t="s">
        <v>1276</v>
      </c>
      <c r="E238" s="18">
        <v>1</v>
      </c>
      <c r="F238" s="14">
        <v>29.99</v>
      </c>
      <c r="G238" s="14">
        <v>29.99</v>
      </c>
      <c r="H238" s="7" t="s">
        <v>941</v>
      </c>
      <c r="I238" s="7" t="s">
        <v>1058</v>
      </c>
      <c r="J238" s="7" t="s">
        <v>1224</v>
      </c>
      <c r="K238" s="7" t="str">
        <f>HYPERLINK("http://slimages.macys.com/is/image/MCY/17594710 ")</f>
        <v xml:space="preserve">http://slimages.macys.com/is/image/MCY/17594710 </v>
      </c>
    </row>
    <row r="239" spans="1:11" ht="20.100000000000001" customHeight="1" x14ac:dyDescent="0.25">
      <c r="A239" s="12" t="s">
        <v>1362</v>
      </c>
      <c r="B239" s="13">
        <v>13571386</v>
      </c>
      <c r="C239" s="8">
        <v>732999788118</v>
      </c>
      <c r="D239" s="6" t="s">
        <v>394</v>
      </c>
      <c r="E239" s="18">
        <v>1</v>
      </c>
      <c r="F239" s="14">
        <v>12.99</v>
      </c>
      <c r="G239" s="14">
        <v>12.99</v>
      </c>
      <c r="H239" s="7" t="s">
        <v>1041</v>
      </c>
      <c r="I239" s="7" t="s">
        <v>971</v>
      </c>
      <c r="J239" s="7" t="s">
        <v>1117</v>
      </c>
      <c r="K239" s="7" t="str">
        <f>HYPERLINK("http://slimages.macys.com/is/image/MCY/18819198 ")</f>
        <v xml:space="preserve">http://slimages.macys.com/is/image/MCY/18819198 </v>
      </c>
    </row>
    <row r="240" spans="1:11" ht="20.100000000000001" customHeight="1" x14ac:dyDescent="0.25">
      <c r="A240" s="12" t="s">
        <v>1362</v>
      </c>
      <c r="B240" s="13">
        <v>13571386</v>
      </c>
      <c r="C240" s="8">
        <v>732999788149</v>
      </c>
      <c r="D240" s="6" t="s">
        <v>1319</v>
      </c>
      <c r="E240" s="18">
        <v>2</v>
      </c>
      <c r="F240" s="14">
        <v>9.99</v>
      </c>
      <c r="G240" s="14">
        <v>19.98</v>
      </c>
      <c r="H240" s="7" t="s">
        <v>981</v>
      </c>
      <c r="I240" s="7" t="s">
        <v>971</v>
      </c>
      <c r="J240" s="7" t="s">
        <v>1117</v>
      </c>
      <c r="K240" s="7" t="str">
        <f>HYPERLINK("http://slimages.macys.com/is/image/MCY/18097873 ")</f>
        <v xml:space="preserve">http://slimages.macys.com/is/image/MCY/18097873 </v>
      </c>
    </row>
    <row r="241" spans="1:11" ht="20.100000000000001" customHeight="1" x14ac:dyDescent="0.25">
      <c r="A241" s="12" t="s">
        <v>1362</v>
      </c>
      <c r="B241" s="13">
        <v>13571386</v>
      </c>
      <c r="C241" s="8">
        <v>732999960736</v>
      </c>
      <c r="D241" s="6" t="s">
        <v>395</v>
      </c>
      <c r="E241" s="18">
        <v>2</v>
      </c>
      <c r="F241" s="14">
        <v>140</v>
      </c>
      <c r="G241" s="14">
        <v>280</v>
      </c>
      <c r="H241" s="7" t="s">
        <v>1435</v>
      </c>
      <c r="I241" s="7" t="s">
        <v>956</v>
      </c>
      <c r="J241" s="7" t="s">
        <v>1256</v>
      </c>
      <c r="K241" s="7" t="str">
        <f>HYPERLINK("http://images.bloomingdales.com/is/image/BLM/11007018 ")</f>
        <v xml:space="preserve">http://images.bloomingdales.com/is/image/BLM/11007018 </v>
      </c>
    </row>
    <row r="242" spans="1:11" ht="20.100000000000001" customHeight="1" x14ac:dyDescent="0.25">
      <c r="A242" s="12" t="s">
        <v>1362</v>
      </c>
      <c r="B242" s="13">
        <v>13571386</v>
      </c>
      <c r="C242" s="8">
        <v>732999971619</v>
      </c>
      <c r="D242" s="6" t="s">
        <v>1257</v>
      </c>
      <c r="E242" s="18">
        <v>1</v>
      </c>
      <c r="F242" s="14">
        <v>199.99</v>
      </c>
      <c r="G242" s="14">
        <v>199.99</v>
      </c>
      <c r="H242" s="7" t="s">
        <v>1050</v>
      </c>
      <c r="I242" s="7" t="s">
        <v>956</v>
      </c>
      <c r="J242" s="7" t="s">
        <v>1014</v>
      </c>
      <c r="K242" s="7" t="str">
        <f>HYPERLINK("http://slimages.macys.com/is/image/MCY/18413010 ")</f>
        <v xml:space="preserve">http://slimages.macys.com/is/image/MCY/18413010 </v>
      </c>
    </row>
    <row r="243" spans="1:11" ht="20.100000000000001" customHeight="1" x14ac:dyDescent="0.25">
      <c r="A243" s="12" t="s">
        <v>1362</v>
      </c>
      <c r="B243" s="13">
        <v>13571386</v>
      </c>
      <c r="C243" s="8">
        <v>732999983759</v>
      </c>
      <c r="D243" s="6" t="s">
        <v>396</v>
      </c>
      <c r="E243" s="18">
        <v>3</v>
      </c>
      <c r="F243" s="14">
        <v>199.99</v>
      </c>
      <c r="G243" s="14">
        <v>599.97</v>
      </c>
      <c r="H243" s="7" t="s">
        <v>1036</v>
      </c>
      <c r="I243" s="7" t="s">
        <v>956</v>
      </c>
      <c r="J243" s="7" t="s">
        <v>1107</v>
      </c>
      <c r="K243" s="7" t="str">
        <f>HYPERLINK("http://slimages.macys.com/is/image/MCY/18173125 ")</f>
        <v xml:space="preserve">http://slimages.macys.com/is/image/MCY/18173125 </v>
      </c>
    </row>
    <row r="244" spans="1:11" ht="20.100000000000001" customHeight="1" x14ac:dyDescent="0.25">
      <c r="A244" s="12" t="s">
        <v>1362</v>
      </c>
      <c r="B244" s="13">
        <v>13571386</v>
      </c>
      <c r="C244" s="8">
        <v>733001041467</v>
      </c>
      <c r="D244" s="6" t="s">
        <v>397</v>
      </c>
      <c r="E244" s="18">
        <v>2</v>
      </c>
      <c r="F244" s="14">
        <v>230</v>
      </c>
      <c r="G244" s="14">
        <v>460</v>
      </c>
      <c r="H244" s="7" t="s">
        <v>1068</v>
      </c>
      <c r="I244" s="7" t="s">
        <v>1022</v>
      </c>
      <c r="J244" s="7" t="s">
        <v>1274</v>
      </c>
      <c r="K244" s="7" t="str">
        <f>HYPERLINK("http://images.bloomingdales.com/is/image/BLM/11019943 ")</f>
        <v xml:space="preserve">http://images.bloomingdales.com/is/image/BLM/11019943 </v>
      </c>
    </row>
    <row r="245" spans="1:11" ht="20.100000000000001" customHeight="1" x14ac:dyDescent="0.25">
      <c r="A245" s="12" t="s">
        <v>1362</v>
      </c>
      <c r="B245" s="13">
        <v>13571386</v>
      </c>
      <c r="C245" s="8">
        <v>733001092865</v>
      </c>
      <c r="D245" s="6" t="s">
        <v>398</v>
      </c>
      <c r="E245" s="18">
        <v>1</v>
      </c>
      <c r="F245" s="14">
        <v>79.989999999999995</v>
      </c>
      <c r="G245" s="14">
        <v>79.989999999999995</v>
      </c>
      <c r="H245" s="7" t="s">
        <v>941</v>
      </c>
      <c r="I245" s="7" t="s">
        <v>956</v>
      </c>
      <c r="J245" s="7" t="s">
        <v>1107</v>
      </c>
      <c r="K245" s="7" t="str">
        <f>HYPERLINK("http://slimages.macys.com/is/image/MCY/12355192 ")</f>
        <v xml:space="preserve">http://slimages.macys.com/is/image/MCY/12355192 </v>
      </c>
    </row>
    <row r="246" spans="1:11" ht="20.100000000000001" customHeight="1" x14ac:dyDescent="0.25">
      <c r="A246" s="12" t="s">
        <v>1362</v>
      </c>
      <c r="B246" s="13">
        <v>13571386</v>
      </c>
      <c r="C246" s="8">
        <v>733001348795</v>
      </c>
      <c r="D246" s="6" t="s">
        <v>399</v>
      </c>
      <c r="E246" s="18">
        <v>1</v>
      </c>
      <c r="F246" s="14">
        <v>79.989999999999995</v>
      </c>
      <c r="G246" s="14">
        <v>79.989999999999995</v>
      </c>
      <c r="H246" s="7" t="s">
        <v>1032</v>
      </c>
      <c r="I246" s="7" t="s">
        <v>1221</v>
      </c>
      <c r="J246" s="7" t="s">
        <v>400</v>
      </c>
      <c r="K246" s="7" t="str">
        <f>HYPERLINK("http://slimages.macys.com/is/image/MCY/14337722 ")</f>
        <v xml:space="preserve">http://slimages.macys.com/is/image/MCY/14337722 </v>
      </c>
    </row>
    <row r="247" spans="1:11" ht="20.100000000000001" customHeight="1" x14ac:dyDescent="0.25">
      <c r="A247" s="12" t="s">
        <v>1362</v>
      </c>
      <c r="B247" s="13">
        <v>13571386</v>
      </c>
      <c r="C247" s="8">
        <v>733001362012</v>
      </c>
      <c r="D247" s="6" t="s">
        <v>401</v>
      </c>
      <c r="E247" s="18">
        <v>1</v>
      </c>
      <c r="F247" s="14">
        <v>269.99</v>
      </c>
      <c r="G247" s="14">
        <v>269.99</v>
      </c>
      <c r="H247" s="7" t="s">
        <v>997</v>
      </c>
      <c r="I247" s="7" t="s">
        <v>1097</v>
      </c>
      <c r="J247" s="7" t="s">
        <v>1098</v>
      </c>
      <c r="K247" s="7" t="str">
        <f>HYPERLINK("http://slimages.macys.com/is/image/MCY/18084640 ")</f>
        <v xml:space="preserve">http://slimages.macys.com/is/image/MCY/18084640 </v>
      </c>
    </row>
    <row r="248" spans="1:11" ht="20.100000000000001" customHeight="1" x14ac:dyDescent="0.25">
      <c r="A248" s="12" t="s">
        <v>1362</v>
      </c>
      <c r="B248" s="13">
        <v>13571386</v>
      </c>
      <c r="C248" s="8">
        <v>733001872047</v>
      </c>
      <c r="D248" s="6" t="s">
        <v>402</v>
      </c>
      <c r="E248" s="18">
        <v>1</v>
      </c>
      <c r="F248" s="14">
        <v>12.99</v>
      </c>
      <c r="G248" s="14">
        <v>12.99</v>
      </c>
      <c r="H248" s="7" t="s">
        <v>976</v>
      </c>
      <c r="I248" s="7" t="s">
        <v>971</v>
      </c>
      <c r="J248" s="7" t="s">
        <v>1117</v>
      </c>
      <c r="K248" s="7" t="str">
        <f>HYPERLINK("http://slimages.macys.com/is/image/MCY/18305389 ")</f>
        <v xml:space="preserve">http://slimages.macys.com/is/image/MCY/18305389 </v>
      </c>
    </row>
    <row r="249" spans="1:11" ht="20.100000000000001" customHeight="1" x14ac:dyDescent="0.25">
      <c r="A249" s="12" t="s">
        <v>1362</v>
      </c>
      <c r="B249" s="13">
        <v>13571386</v>
      </c>
      <c r="C249" s="8">
        <v>733001923213</v>
      </c>
      <c r="D249" s="6" t="s">
        <v>403</v>
      </c>
      <c r="E249" s="18">
        <v>1</v>
      </c>
      <c r="F249" s="14">
        <v>329.99</v>
      </c>
      <c r="G249" s="14">
        <v>329.99</v>
      </c>
      <c r="H249" s="7" t="s">
        <v>988</v>
      </c>
      <c r="I249" s="7" t="s">
        <v>956</v>
      </c>
      <c r="J249" s="7" t="s">
        <v>1014</v>
      </c>
      <c r="K249" s="7" t="str">
        <f>HYPERLINK("http://slimages.macys.com/is/image/MCY/18613770 ")</f>
        <v xml:space="preserve">http://slimages.macys.com/is/image/MCY/18613770 </v>
      </c>
    </row>
    <row r="250" spans="1:11" ht="20.100000000000001" customHeight="1" x14ac:dyDescent="0.25">
      <c r="A250" s="12" t="s">
        <v>1362</v>
      </c>
      <c r="B250" s="13">
        <v>13571386</v>
      </c>
      <c r="C250" s="8">
        <v>733001923268</v>
      </c>
      <c r="D250" s="6" t="s">
        <v>404</v>
      </c>
      <c r="E250" s="18">
        <v>1</v>
      </c>
      <c r="F250" s="14">
        <v>89.99</v>
      </c>
      <c r="G250" s="14">
        <v>89.99</v>
      </c>
      <c r="H250" s="7" t="s">
        <v>988</v>
      </c>
      <c r="I250" s="7" t="s">
        <v>956</v>
      </c>
      <c r="J250" s="7" t="s">
        <v>1014</v>
      </c>
      <c r="K250" s="7" t="str">
        <f>HYPERLINK("http://slimages.macys.com/is/image/MCY/12355152 ")</f>
        <v xml:space="preserve">http://slimages.macys.com/is/image/MCY/12355152 </v>
      </c>
    </row>
    <row r="251" spans="1:11" ht="20.100000000000001" customHeight="1" x14ac:dyDescent="0.25">
      <c r="A251" s="12" t="s">
        <v>1362</v>
      </c>
      <c r="B251" s="13">
        <v>13571386</v>
      </c>
      <c r="C251" s="8">
        <v>733001925866</v>
      </c>
      <c r="D251" s="6" t="s">
        <v>405</v>
      </c>
      <c r="E251" s="18">
        <v>1</v>
      </c>
      <c r="F251" s="14">
        <v>39.99</v>
      </c>
      <c r="G251" s="14">
        <v>39.99</v>
      </c>
      <c r="H251" s="7" t="s">
        <v>941</v>
      </c>
      <c r="I251" s="7" t="s">
        <v>1058</v>
      </c>
      <c r="J251" s="7" t="s">
        <v>1084</v>
      </c>
      <c r="K251" s="7" t="str">
        <f>HYPERLINK("http://slimages.macys.com/is/image/MCY/18753457 ")</f>
        <v xml:space="preserve">http://slimages.macys.com/is/image/MCY/18753457 </v>
      </c>
    </row>
    <row r="252" spans="1:11" ht="20.100000000000001" customHeight="1" x14ac:dyDescent="0.25">
      <c r="A252" s="12" t="s">
        <v>1362</v>
      </c>
      <c r="B252" s="13">
        <v>13571386</v>
      </c>
      <c r="C252" s="8">
        <v>733002007769</v>
      </c>
      <c r="D252" s="6" t="s">
        <v>406</v>
      </c>
      <c r="E252" s="18">
        <v>1</v>
      </c>
      <c r="F252" s="14">
        <v>229.99</v>
      </c>
      <c r="G252" s="14">
        <v>229.99</v>
      </c>
      <c r="H252" s="7" t="s">
        <v>944</v>
      </c>
      <c r="I252" s="7" t="s">
        <v>956</v>
      </c>
      <c r="J252" s="7" t="s">
        <v>1014</v>
      </c>
      <c r="K252" s="7" t="str">
        <f>HYPERLINK("http://slimages.macys.com/is/image/MCY/18631889 ")</f>
        <v xml:space="preserve">http://slimages.macys.com/is/image/MCY/18631889 </v>
      </c>
    </row>
    <row r="253" spans="1:11" ht="20.100000000000001" customHeight="1" x14ac:dyDescent="0.25">
      <c r="A253" s="12" t="s">
        <v>1362</v>
      </c>
      <c r="B253" s="13">
        <v>13571386</v>
      </c>
      <c r="C253" s="8">
        <v>733002007776</v>
      </c>
      <c r="D253" s="6" t="s">
        <v>1381</v>
      </c>
      <c r="E253" s="18">
        <v>1</v>
      </c>
      <c r="F253" s="14">
        <v>89.99</v>
      </c>
      <c r="G253" s="14">
        <v>89.99</v>
      </c>
      <c r="H253" s="7" t="s">
        <v>944</v>
      </c>
      <c r="I253" s="7" t="s">
        <v>956</v>
      </c>
      <c r="J253" s="7" t="s">
        <v>1014</v>
      </c>
      <c r="K253" s="7" t="str">
        <f>HYPERLINK("http://slimages.macys.com/is/image/MCY/18631890 ")</f>
        <v xml:space="preserve">http://slimages.macys.com/is/image/MCY/18631890 </v>
      </c>
    </row>
    <row r="254" spans="1:11" ht="20.100000000000001" customHeight="1" x14ac:dyDescent="0.25">
      <c r="A254" s="12" t="s">
        <v>1362</v>
      </c>
      <c r="B254" s="13">
        <v>13571386</v>
      </c>
      <c r="C254" s="8">
        <v>733002052141</v>
      </c>
      <c r="D254" s="6" t="s">
        <v>407</v>
      </c>
      <c r="E254" s="18">
        <v>1</v>
      </c>
      <c r="F254" s="14">
        <v>99.99</v>
      </c>
      <c r="G254" s="14">
        <v>99.99</v>
      </c>
      <c r="H254" s="7" t="s">
        <v>941</v>
      </c>
      <c r="I254" s="7" t="s">
        <v>1022</v>
      </c>
      <c r="J254" s="7" t="s">
        <v>1254</v>
      </c>
      <c r="K254" s="7" t="str">
        <f>HYPERLINK("http://slimages.macys.com/is/image/MCY/18366426 ")</f>
        <v xml:space="preserve">http://slimages.macys.com/is/image/MCY/18366426 </v>
      </c>
    </row>
    <row r="255" spans="1:11" ht="20.100000000000001" customHeight="1" x14ac:dyDescent="0.25">
      <c r="A255" s="12" t="s">
        <v>1362</v>
      </c>
      <c r="B255" s="13">
        <v>13571386</v>
      </c>
      <c r="C255" s="8">
        <v>733002247073</v>
      </c>
      <c r="D255" s="6" t="s">
        <v>1321</v>
      </c>
      <c r="E255" s="18">
        <v>1</v>
      </c>
      <c r="F255" s="14">
        <v>249.99</v>
      </c>
      <c r="G255" s="14">
        <v>249.99</v>
      </c>
      <c r="H255" s="7" t="s">
        <v>997</v>
      </c>
      <c r="I255" s="7" t="s">
        <v>956</v>
      </c>
      <c r="J255" s="7" t="s">
        <v>1014</v>
      </c>
      <c r="K255" s="7" t="str">
        <f>HYPERLINK("http://slimages.macys.com/is/image/MCY/18821935 ")</f>
        <v xml:space="preserve">http://slimages.macys.com/is/image/MCY/18821935 </v>
      </c>
    </row>
    <row r="256" spans="1:11" ht="20.100000000000001" customHeight="1" x14ac:dyDescent="0.25">
      <c r="A256" s="12" t="s">
        <v>1362</v>
      </c>
      <c r="B256" s="13">
        <v>13571386</v>
      </c>
      <c r="C256" s="8">
        <v>733002247295</v>
      </c>
      <c r="D256" s="6" t="s">
        <v>408</v>
      </c>
      <c r="E256" s="18">
        <v>1</v>
      </c>
      <c r="F256" s="14">
        <v>199.99</v>
      </c>
      <c r="G256" s="14">
        <v>199.99</v>
      </c>
      <c r="H256" s="7" t="s">
        <v>1068</v>
      </c>
      <c r="I256" s="7" t="s">
        <v>956</v>
      </c>
      <c r="J256" s="7" t="s">
        <v>1109</v>
      </c>
      <c r="K256" s="7" t="str">
        <f>HYPERLINK("http://slimages.macys.com/is/image/MCY/18821955 ")</f>
        <v xml:space="preserve">http://slimages.macys.com/is/image/MCY/18821955 </v>
      </c>
    </row>
    <row r="257" spans="1:11" ht="20.100000000000001" customHeight="1" x14ac:dyDescent="0.25">
      <c r="A257" s="12" t="s">
        <v>1362</v>
      </c>
      <c r="B257" s="13">
        <v>13571386</v>
      </c>
      <c r="C257" s="8">
        <v>733002247325</v>
      </c>
      <c r="D257" s="6" t="s">
        <v>1429</v>
      </c>
      <c r="E257" s="18">
        <v>2</v>
      </c>
      <c r="F257" s="14">
        <v>59.99</v>
      </c>
      <c r="G257" s="14">
        <v>119.98</v>
      </c>
      <c r="H257" s="7" t="s">
        <v>1068</v>
      </c>
      <c r="I257" s="7" t="s">
        <v>956</v>
      </c>
      <c r="J257" s="7" t="s">
        <v>1109</v>
      </c>
      <c r="K257" s="7" t="str">
        <f>HYPERLINK("http://slimages.macys.com/is/image/MCY/18821958 ")</f>
        <v xml:space="preserve">http://slimages.macys.com/is/image/MCY/18821958 </v>
      </c>
    </row>
    <row r="258" spans="1:11" ht="20.100000000000001" customHeight="1" x14ac:dyDescent="0.25">
      <c r="A258" s="12" t="s">
        <v>1362</v>
      </c>
      <c r="B258" s="13">
        <v>13571386</v>
      </c>
      <c r="C258" s="8">
        <v>733002270552</v>
      </c>
      <c r="D258" s="6" t="s">
        <v>1383</v>
      </c>
      <c r="E258" s="18">
        <v>1</v>
      </c>
      <c r="F258" s="14">
        <v>149.99</v>
      </c>
      <c r="G258" s="14">
        <v>149.99</v>
      </c>
      <c r="H258" s="7" t="s">
        <v>952</v>
      </c>
      <c r="I258" s="7" t="s">
        <v>1097</v>
      </c>
      <c r="J258" s="7" t="s">
        <v>1098</v>
      </c>
      <c r="K258" s="7" t="str">
        <f>HYPERLINK("http://slimages.macys.com/is/image/MCY/18893290 ")</f>
        <v xml:space="preserve">http://slimages.macys.com/is/image/MCY/18893290 </v>
      </c>
    </row>
    <row r="259" spans="1:11" ht="20.100000000000001" customHeight="1" x14ac:dyDescent="0.25">
      <c r="A259" s="12" t="s">
        <v>1362</v>
      </c>
      <c r="B259" s="13">
        <v>13571386</v>
      </c>
      <c r="C259" s="8">
        <v>733002270552</v>
      </c>
      <c r="D259" s="6" t="s">
        <v>1383</v>
      </c>
      <c r="E259" s="18">
        <v>1</v>
      </c>
      <c r="F259" s="14">
        <v>149.99</v>
      </c>
      <c r="G259" s="14">
        <v>149.99</v>
      </c>
      <c r="H259" s="7" t="s">
        <v>952</v>
      </c>
      <c r="I259" s="7" t="s">
        <v>1097</v>
      </c>
      <c r="J259" s="7" t="s">
        <v>1098</v>
      </c>
      <c r="K259" s="7" t="str">
        <f>HYPERLINK("http://slimages.macys.com/is/image/MCY/18893290 ")</f>
        <v xml:space="preserve">http://slimages.macys.com/is/image/MCY/18893290 </v>
      </c>
    </row>
    <row r="260" spans="1:11" ht="20.100000000000001" customHeight="1" x14ac:dyDescent="0.25">
      <c r="A260" s="12" t="s">
        <v>1362</v>
      </c>
      <c r="B260" s="13">
        <v>13571386</v>
      </c>
      <c r="C260" s="8">
        <v>733002270552</v>
      </c>
      <c r="D260" s="6" t="s">
        <v>1383</v>
      </c>
      <c r="E260" s="18">
        <v>1</v>
      </c>
      <c r="F260" s="14">
        <v>149.99</v>
      </c>
      <c r="G260" s="14">
        <v>149.99</v>
      </c>
      <c r="H260" s="7" t="s">
        <v>952</v>
      </c>
      <c r="I260" s="7" t="s">
        <v>1097</v>
      </c>
      <c r="J260" s="7" t="s">
        <v>1098</v>
      </c>
      <c r="K260" s="7" t="str">
        <f>HYPERLINK("http://slimages.macys.com/is/image/MCY/18893290 ")</f>
        <v xml:space="preserve">http://slimages.macys.com/is/image/MCY/18893290 </v>
      </c>
    </row>
    <row r="261" spans="1:11" ht="20.100000000000001" customHeight="1" x14ac:dyDescent="0.25">
      <c r="A261" s="12" t="s">
        <v>1362</v>
      </c>
      <c r="B261" s="13">
        <v>13571386</v>
      </c>
      <c r="C261" s="8">
        <v>733002640577</v>
      </c>
      <c r="D261" s="6" t="s">
        <v>1322</v>
      </c>
      <c r="E261" s="18">
        <v>2</v>
      </c>
      <c r="F261" s="14">
        <v>99.99</v>
      </c>
      <c r="G261" s="14">
        <v>199.98</v>
      </c>
      <c r="H261" s="7" t="s">
        <v>941</v>
      </c>
      <c r="I261" s="7" t="s">
        <v>969</v>
      </c>
      <c r="J261" s="7" t="s">
        <v>1233</v>
      </c>
      <c r="K261" s="7" t="str">
        <f>HYPERLINK("http://slimages.macys.com/is/image/MCY/18917152 ")</f>
        <v xml:space="preserve">http://slimages.macys.com/is/image/MCY/18917152 </v>
      </c>
    </row>
    <row r="262" spans="1:11" ht="20.100000000000001" customHeight="1" x14ac:dyDescent="0.25">
      <c r="A262" s="12" t="s">
        <v>1362</v>
      </c>
      <c r="B262" s="13">
        <v>13571386</v>
      </c>
      <c r="C262" s="8">
        <v>733002645121</v>
      </c>
      <c r="D262" s="6" t="s">
        <v>409</v>
      </c>
      <c r="E262" s="18">
        <v>1</v>
      </c>
      <c r="F262" s="14">
        <v>29.99</v>
      </c>
      <c r="G262" s="14">
        <v>29.99</v>
      </c>
      <c r="H262" s="7" t="s">
        <v>941</v>
      </c>
      <c r="I262" s="7" t="s">
        <v>1046</v>
      </c>
      <c r="J262" s="7" t="s">
        <v>1047</v>
      </c>
      <c r="K262" s="7" t="str">
        <f>HYPERLINK("http://slimages.macys.com/is/image/MCY/18962294 ")</f>
        <v xml:space="preserve">http://slimages.macys.com/is/image/MCY/18962294 </v>
      </c>
    </row>
    <row r="263" spans="1:11" ht="20.100000000000001" customHeight="1" x14ac:dyDescent="0.25">
      <c r="A263" s="12" t="s">
        <v>1362</v>
      </c>
      <c r="B263" s="13">
        <v>13571386</v>
      </c>
      <c r="C263" s="8">
        <v>733002884759</v>
      </c>
      <c r="D263" s="6" t="s">
        <v>410</v>
      </c>
      <c r="E263" s="18">
        <v>1</v>
      </c>
      <c r="F263" s="14">
        <v>69.989999999999995</v>
      </c>
      <c r="G263" s="14">
        <v>69.989999999999995</v>
      </c>
      <c r="H263" s="7" t="s">
        <v>1025</v>
      </c>
      <c r="I263" s="7" t="s">
        <v>956</v>
      </c>
      <c r="J263" s="7" t="s">
        <v>1014</v>
      </c>
      <c r="K263" s="7" t="str">
        <f>HYPERLINK("http://slimages.macys.com/is/image/MCY/19340326 ")</f>
        <v xml:space="preserve">http://slimages.macys.com/is/image/MCY/19340326 </v>
      </c>
    </row>
    <row r="264" spans="1:11" ht="20.100000000000001" customHeight="1" x14ac:dyDescent="0.25">
      <c r="A264" s="12" t="s">
        <v>1362</v>
      </c>
      <c r="B264" s="13">
        <v>13571386</v>
      </c>
      <c r="C264" s="8">
        <v>733004904578</v>
      </c>
      <c r="D264" s="6" t="s">
        <v>411</v>
      </c>
      <c r="E264" s="18">
        <v>1</v>
      </c>
      <c r="F264" s="14">
        <v>29.99</v>
      </c>
      <c r="G264" s="14">
        <v>29.99</v>
      </c>
      <c r="H264" s="7" t="s">
        <v>950</v>
      </c>
      <c r="I264" s="7" t="s">
        <v>1097</v>
      </c>
      <c r="J264" s="7" t="s">
        <v>1098</v>
      </c>
      <c r="K264" s="7" t="str">
        <f>HYPERLINK("http://slimages.macys.com/is/image/MCY/1043606 ")</f>
        <v xml:space="preserve">http://slimages.macys.com/is/image/MCY/1043606 </v>
      </c>
    </row>
    <row r="265" spans="1:11" ht="20.100000000000001" customHeight="1" x14ac:dyDescent="0.25">
      <c r="A265" s="12" t="s">
        <v>1362</v>
      </c>
      <c r="B265" s="13">
        <v>13571386</v>
      </c>
      <c r="C265" s="8">
        <v>734737422940</v>
      </c>
      <c r="D265" s="6" t="s">
        <v>1282</v>
      </c>
      <c r="E265" s="18">
        <v>1</v>
      </c>
      <c r="F265" s="14">
        <v>49.99</v>
      </c>
      <c r="G265" s="14">
        <v>49.99</v>
      </c>
      <c r="H265" s="7" t="s">
        <v>984</v>
      </c>
      <c r="I265" s="7" t="s">
        <v>945</v>
      </c>
      <c r="J265" s="7" t="s">
        <v>974</v>
      </c>
      <c r="K265" s="7" t="str">
        <f>HYPERLINK("http://slimages.macys.com/is/image/MCY/8347198 ")</f>
        <v xml:space="preserve">http://slimages.macys.com/is/image/MCY/8347198 </v>
      </c>
    </row>
    <row r="266" spans="1:11" ht="20.100000000000001" customHeight="1" x14ac:dyDescent="0.25">
      <c r="A266" s="12" t="s">
        <v>1362</v>
      </c>
      <c r="B266" s="13">
        <v>13571386</v>
      </c>
      <c r="C266" s="8">
        <v>734737485662</v>
      </c>
      <c r="D266" s="6" t="s">
        <v>412</v>
      </c>
      <c r="E266" s="18">
        <v>1</v>
      </c>
      <c r="F266" s="14">
        <v>49.99</v>
      </c>
      <c r="G266" s="14">
        <v>49.99</v>
      </c>
      <c r="H266" s="7" t="s">
        <v>950</v>
      </c>
      <c r="I266" s="7" t="s">
        <v>945</v>
      </c>
      <c r="J266" s="7" t="s">
        <v>974</v>
      </c>
      <c r="K266" s="7" t="str">
        <f>HYPERLINK("http://slimages.macys.com/is/image/MCY/8347198 ")</f>
        <v xml:space="preserve">http://slimages.macys.com/is/image/MCY/8347198 </v>
      </c>
    </row>
    <row r="267" spans="1:11" ht="20.100000000000001" customHeight="1" x14ac:dyDescent="0.25">
      <c r="A267" s="12" t="s">
        <v>1362</v>
      </c>
      <c r="B267" s="13">
        <v>13571386</v>
      </c>
      <c r="C267" s="8">
        <v>734737495586</v>
      </c>
      <c r="D267" s="6" t="s">
        <v>413</v>
      </c>
      <c r="E267" s="18">
        <v>1</v>
      </c>
      <c r="F267" s="14">
        <v>189.99</v>
      </c>
      <c r="G267" s="14">
        <v>189.99</v>
      </c>
      <c r="H267" s="7" t="s">
        <v>991</v>
      </c>
      <c r="I267" s="7" t="s">
        <v>1003</v>
      </c>
      <c r="J267" s="7" t="s">
        <v>1133</v>
      </c>
      <c r="K267" s="7" t="str">
        <f>HYPERLINK("http://slimages.macys.com/is/image/MCY/8689935 ")</f>
        <v xml:space="preserve">http://slimages.macys.com/is/image/MCY/8689935 </v>
      </c>
    </row>
    <row r="268" spans="1:11" ht="20.100000000000001" customHeight="1" x14ac:dyDescent="0.25">
      <c r="A268" s="12" t="s">
        <v>1362</v>
      </c>
      <c r="B268" s="13">
        <v>13571386</v>
      </c>
      <c r="C268" s="8">
        <v>734737532731</v>
      </c>
      <c r="D268" s="6" t="s">
        <v>1181</v>
      </c>
      <c r="E268" s="18">
        <v>1</v>
      </c>
      <c r="F268" s="14">
        <v>49.99</v>
      </c>
      <c r="G268" s="14">
        <v>49.99</v>
      </c>
      <c r="H268" s="7" t="s">
        <v>941</v>
      </c>
      <c r="I268" s="7" t="s">
        <v>945</v>
      </c>
      <c r="J268" s="7" t="s">
        <v>974</v>
      </c>
      <c r="K268" s="7" t="str">
        <f>HYPERLINK("http://slimages.macys.com/is/image/MCY/9330026 ")</f>
        <v xml:space="preserve">http://slimages.macys.com/is/image/MCY/9330026 </v>
      </c>
    </row>
    <row r="269" spans="1:11" ht="20.100000000000001" customHeight="1" x14ac:dyDescent="0.25">
      <c r="A269" s="12" t="s">
        <v>1362</v>
      </c>
      <c r="B269" s="13">
        <v>13571386</v>
      </c>
      <c r="C269" s="8">
        <v>734737534940</v>
      </c>
      <c r="D269" s="6" t="s">
        <v>414</v>
      </c>
      <c r="E269" s="18">
        <v>1</v>
      </c>
      <c r="F269" s="14">
        <v>3.99</v>
      </c>
      <c r="G269" s="14">
        <v>3.99</v>
      </c>
      <c r="H269" s="7" t="s">
        <v>985</v>
      </c>
      <c r="I269" s="7" t="s">
        <v>1033</v>
      </c>
      <c r="J269" s="7" t="s">
        <v>974</v>
      </c>
      <c r="K269" s="7" t="str">
        <f>HYPERLINK("http://slimages.macys.com/is/image/MCY/13909845 ")</f>
        <v xml:space="preserve">http://slimages.macys.com/is/image/MCY/13909845 </v>
      </c>
    </row>
    <row r="270" spans="1:11" ht="20.100000000000001" customHeight="1" x14ac:dyDescent="0.25">
      <c r="A270" s="12" t="s">
        <v>1362</v>
      </c>
      <c r="B270" s="13">
        <v>13571386</v>
      </c>
      <c r="C270" s="8">
        <v>734737535008</v>
      </c>
      <c r="D270" s="6" t="s">
        <v>415</v>
      </c>
      <c r="E270" s="18">
        <v>1</v>
      </c>
      <c r="F270" s="14">
        <v>3.99</v>
      </c>
      <c r="G270" s="14">
        <v>3.99</v>
      </c>
      <c r="H270" s="7" t="s">
        <v>1435</v>
      </c>
      <c r="I270" s="7" t="s">
        <v>1033</v>
      </c>
      <c r="J270" s="7" t="s">
        <v>974</v>
      </c>
      <c r="K270" s="7" t="str">
        <f>HYPERLINK("http://slimages.macys.com/is/image/MCY/13909845 ")</f>
        <v xml:space="preserve">http://slimages.macys.com/is/image/MCY/13909845 </v>
      </c>
    </row>
    <row r="271" spans="1:11" ht="20.100000000000001" customHeight="1" x14ac:dyDescent="0.25">
      <c r="A271" s="12" t="s">
        <v>1362</v>
      </c>
      <c r="B271" s="13">
        <v>13571386</v>
      </c>
      <c r="C271" s="8">
        <v>734737637375</v>
      </c>
      <c r="D271" s="6" t="s">
        <v>1323</v>
      </c>
      <c r="E271" s="18">
        <v>1</v>
      </c>
      <c r="F271" s="14">
        <v>49.99</v>
      </c>
      <c r="G271" s="14">
        <v>49.99</v>
      </c>
      <c r="H271" s="7" t="s">
        <v>941</v>
      </c>
      <c r="I271" s="7" t="s">
        <v>939</v>
      </c>
      <c r="J271" s="7" t="s">
        <v>974</v>
      </c>
      <c r="K271" s="7" t="str">
        <f>HYPERLINK("http://slimages.macys.com/is/image/MCY/17191785 ")</f>
        <v xml:space="preserve">http://slimages.macys.com/is/image/MCY/17191785 </v>
      </c>
    </row>
    <row r="272" spans="1:11" ht="20.100000000000001" customHeight="1" x14ac:dyDescent="0.25">
      <c r="A272" s="12" t="s">
        <v>1362</v>
      </c>
      <c r="B272" s="13">
        <v>13571386</v>
      </c>
      <c r="C272" s="8">
        <v>734737637481</v>
      </c>
      <c r="D272" s="6" t="s">
        <v>416</v>
      </c>
      <c r="E272" s="18">
        <v>1</v>
      </c>
      <c r="F272" s="14">
        <v>49.99</v>
      </c>
      <c r="G272" s="14">
        <v>49.99</v>
      </c>
      <c r="H272" s="7" t="s">
        <v>1104</v>
      </c>
      <c r="I272" s="7" t="s">
        <v>939</v>
      </c>
      <c r="J272" s="7" t="s">
        <v>974</v>
      </c>
      <c r="K272" s="7" t="str">
        <f>HYPERLINK("http://slimages.macys.com/is/image/MCY/17191784 ")</f>
        <v xml:space="preserve">http://slimages.macys.com/is/image/MCY/17191784 </v>
      </c>
    </row>
    <row r="273" spans="1:11" ht="20.100000000000001" customHeight="1" x14ac:dyDescent="0.25">
      <c r="A273" s="12" t="s">
        <v>1362</v>
      </c>
      <c r="B273" s="13">
        <v>13571386</v>
      </c>
      <c r="C273" s="8">
        <v>734737637573</v>
      </c>
      <c r="D273" s="6" t="s">
        <v>1324</v>
      </c>
      <c r="E273" s="18">
        <v>1</v>
      </c>
      <c r="F273" s="14">
        <v>49.99</v>
      </c>
      <c r="G273" s="14">
        <v>49.99</v>
      </c>
      <c r="H273" s="7" t="s">
        <v>984</v>
      </c>
      <c r="I273" s="7" t="s">
        <v>939</v>
      </c>
      <c r="J273" s="7" t="s">
        <v>974</v>
      </c>
      <c r="K273" s="7" t="str">
        <f>HYPERLINK("http://slimages.macys.com/is/image/MCY/17191784 ")</f>
        <v xml:space="preserve">http://slimages.macys.com/is/image/MCY/17191784 </v>
      </c>
    </row>
    <row r="274" spans="1:11" ht="20.100000000000001" customHeight="1" x14ac:dyDescent="0.25">
      <c r="A274" s="12" t="s">
        <v>1362</v>
      </c>
      <c r="B274" s="13">
        <v>13571386</v>
      </c>
      <c r="C274" s="8">
        <v>734737650930</v>
      </c>
      <c r="D274" s="6" t="s">
        <v>417</v>
      </c>
      <c r="E274" s="18">
        <v>2</v>
      </c>
      <c r="F274" s="14">
        <v>179.99</v>
      </c>
      <c r="G274" s="14">
        <v>359.98</v>
      </c>
      <c r="H274" s="7" t="s">
        <v>1026</v>
      </c>
      <c r="I274" s="7" t="s">
        <v>1003</v>
      </c>
      <c r="J274" s="7" t="s">
        <v>1133</v>
      </c>
      <c r="K274" s="7" t="str">
        <f>HYPERLINK("http://slimages.macys.com/is/image/MCY/17687790 ")</f>
        <v xml:space="preserve">http://slimages.macys.com/is/image/MCY/17687790 </v>
      </c>
    </row>
    <row r="275" spans="1:11" ht="20.100000000000001" customHeight="1" x14ac:dyDescent="0.25">
      <c r="A275" s="12" t="s">
        <v>1362</v>
      </c>
      <c r="B275" s="13">
        <v>13571386</v>
      </c>
      <c r="C275" s="8">
        <v>735732053580</v>
      </c>
      <c r="D275" s="6" t="s">
        <v>418</v>
      </c>
      <c r="E275" s="18">
        <v>1</v>
      </c>
      <c r="F275" s="14">
        <v>55.99</v>
      </c>
      <c r="G275" s="14">
        <v>55.99</v>
      </c>
      <c r="H275" s="7" t="s">
        <v>1026</v>
      </c>
      <c r="I275" s="7" t="s">
        <v>947</v>
      </c>
      <c r="J275" s="7" t="s">
        <v>1244</v>
      </c>
      <c r="K275" s="7" t="str">
        <f>HYPERLINK("http://slimages.macys.com/is/image/MCY/10165159 ")</f>
        <v xml:space="preserve">http://slimages.macys.com/is/image/MCY/10165159 </v>
      </c>
    </row>
    <row r="276" spans="1:11" ht="20.100000000000001" customHeight="1" x14ac:dyDescent="0.25">
      <c r="A276" s="12" t="s">
        <v>1362</v>
      </c>
      <c r="B276" s="13">
        <v>13571386</v>
      </c>
      <c r="C276" s="8">
        <v>735732106446</v>
      </c>
      <c r="D276" s="6" t="s">
        <v>419</v>
      </c>
      <c r="E276" s="18">
        <v>1</v>
      </c>
      <c r="F276" s="14">
        <v>24.99</v>
      </c>
      <c r="G276" s="14">
        <v>24.99</v>
      </c>
      <c r="H276" s="7" t="s">
        <v>950</v>
      </c>
      <c r="I276" s="7" t="s">
        <v>947</v>
      </c>
      <c r="J276" s="7" t="s">
        <v>1244</v>
      </c>
      <c r="K276" s="7" t="str">
        <f>HYPERLINK("http://slimages.macys.com/is/image/MCY/3250787 ")</f>
        <v xml:space="preserve">http://slimages.macys.com/is/image/MCY/3250787 </v>
      </c>
    </row>
    <row r="277" spans="1:11" ht="20.100000000000001" customHeight="1" x14ac:dyDescent="0.25">
      <c r="A277" s="12" t="s">
        <v>1362</v>
      </c>
      <c r="B277" s="13">
        <v>13571386</v>
      </c>
      <c r="C277" s="8">
        <v>735732791383</v>
      </c>
      <c r="D277" s="6" t="s">
        <v>420</v>
      </c>
      <c r="E277" s="18">
        <v>5</v>
      </c>
      <c r="F277" s="14">
        <v>65.989999999999995</v>
      </c>
      <c r="G277" s="14">
        <v>329.95</v>
      </c>
      <c r="H277" s="7" t="s">
        <v>1026</v>
      </c>
      <c r="I277" s="7" t="s">
        <v>947</v>
      </c>
      <c r="J277" s="7" t="s">
        <v>1244</v>
      </c>
      <c r="K277" s="7" t="str">
        <f>HYPERLINK("http://slimages.macys.com/is/image/MCY/13534563 ")</f>
        <v xml:space="preserve">http://slimages.macys.com/is/image/MCY/13534563 </v>
      </c>
    </row>
    <row r="278" spans="1:11" ht="20.100000000000001" customHeight="1" x14ac:dyDescent="0.25">
      <c r="A278" s="12" t="s">
        <v>1362</v>
      </c>
      <c r="B278" s="13">
        <v>13571386</v>
      </c>
      <c r="C278" s="8">
        <v>735732895647</v>
      </c>
      <c r="D278" s="6" t="s">
        <v>421</v>
      </c>
      <c r="E278" s="18">
        <v>1</v>
      </c>
      <c r="F278" s="14">
        <v>83.99</v>
      </c>
      <c r="G278" s="14">
        <v>83.99</v>
      </c>
      <c r="H278" s="7" t="s">
        <v>1001</v>
      </c>
      <c r="I278" s="7" t="s">
        <v>945</v>
      </c>
      <c r="J278" s="7" t="s">
        <v>1170</v>
      </c>
      <c r="K278" s="7" t="str">
        <f>HYPERLINK("http://slimages.macys.com/is/image/MCY/10816428 ")</f>
        <v xml:space="preserve">http://slimages.macys.com/is/image/MCY/10816428 </v>
      </c>
    </row>
    <row r="279" spans="1:11" ht="20.100000000000001" customHeight="1" x14ac:dyDescent="0.25">
      <c r="A279" s="12" t="s">
        <v>1362</v>
      </c>
      <c r="B279" s="13">
        <v>13571386</v>
      </c>
      <c r="C279" s="8">
        <v>735732947759</v>
      </c>
      <c r="D279" s="6" t="s">
        <v>422</v>
      </c>
      <c r="E279" s="18">
        <v>4</v>
      </c>
      <c r="F279" s="14">
        <v>19.989999999999998</v>
      </c>
      <c r="G279" s="14">
        <v>79.959999999999994</v>
      </c>
      <c r="H279" s="7" t="s">
        <v>1026</v>
      </c>
      <c r="I279" s="7" t="s">
        <v>947</v>
      </c>
      <c r="J279" s="7" t="s">
        <v>1244</v>
      </c>
      <c r="K279" s="7" t="str">
        <f>HYPERLINK("http://slimages.macys.com/is/image/MCY/8176331 ")</f>
        <v xml:space="preserve">http://slimages.macys.com/is/image/MCY/8176331 </v>
      </c>
    </row>
    <row r="280" spans="1:11" ht="20.100000000000001" customHeight="1" x14ac:dyDescent="0.25">
      <c r="A280" s="12" t="s">
        <v>1362</v>
      </c>
      <c r="B280" s="13">
        <v>13571386</v>
      </c>
      <c r="C280" s="8">
        <v>735837077481</v>
      </c>
      <c r="D280" s="6" t="s">
        <v>423</v>
      </c>
      <c r="E280" s="18">
        <v>1</v>
      </c>
      <c r="F280" s="14">
        <v>99.99</v>
      </c>
      <c r="G280" s="14">
        <v>99.99</v>
      </c>
      <c r="H280" s="7" t="s">
        <v>994</v>
      </c>
      <c r="I280" s="7" t="s">
        <v>1058</v>
      </c>
      <c r="J280" s="7" t="s">
        <v>1129</v>
      </c>
      <c r="K280" s="7" t="str">
        <f>HYPERLINK("http://slimages.macys.com/is/image/MCY/1067172 ")</f>
        <v xml:space="preserve">http://slimages.macys.com/is/image/MCY/1067172 </v>
      </c>
    </row>
    <row r="281" spans="1:11" ht="20.100000000000001" customHeight="1" x14ac:dyDescent="0.25">
      <c r="A281" s="12" t="s">
        <v>1362</v>
      </c>
      <c r="B281" s="13">
        <v>13571386</v>
      </c>
      <c r="C281" s="8">
        <v>735837574225</v>
      </c>
      <c r="D281" s="6" t="s">
        <v>424</v>
      </c>
      <c r="E281" s="18">
        <v>1</v>
      </c>
      <c r="F281" s="14">
        <v>149.99</v>
      </c>
      <c r="G281" s="14">
        <v>149.99</v>
      </c>
      <c r="H281" s="7" t="s">
        <v>941</v>
      </c>
      <c r="I281" s="7" t="s">
        <v>1058</v>
      </c>
      <c r="J281" s="7" t="s">
        <v>1129</v>
      </c>
      <c r="K281" s="7" t="str">
        <f>HYPERLINK("http://slimages.macys.com/is/image/MCY/3962581 ")</f>
        <v xml:space="preserve">http://slimages.macys.com/is/image/MCY/3962581 </v>
      </c>
    </row>
    <row r="282" spans="1:11" ht="20.100000000000001" customHeight="1" x14ac:dyDescent="0.25">
      <c r="A282" s="12" t="s">
        <v>1362</v>
      </c>
      <c r="B282" s="13">
        <v>13571386</v>
      </c>
      <c r="C282" s="8">
        <v>738980360400</v>
      </c>
      <c r="D282" s="6" t="s">
        <v>425</v>
      </c>
      <c r="E282" s="18">
        <v>1</v>
      </c>
      <c r="F282" s="14">
        <v>12.99</v>
      </c>
      <c r="G282" s="14">
        <v>12.99</v>
      </c>
      <c r="H282" s="7" t="s">
        <v>941</v>
      </c>
      <c r="I282" s="7" t="s">
        <v>958</v>
      </c>
      <c r="J282" s="7" t="s">
        <v>1089</v>
      </c>
      <c r="K282" s="7" t="str">
        <f>HYPERLINK("http://slimages.macys.com/is/image/MCY/9300931 ")</f>
        <v xml:space="preserve">http://slimages.macys.com/is/image/MCY/9300931 </v>
      </c>
    </row>
    <row r="283" spans="1:11" ht="20.100000000000001" customHeight="1" x14ac:dyDescent="0.25">
      <c r="A283" s="12" t="s">
        <v>1362</v>
      </c>
      <c r="B283" s="13">
        <v>13571386</v>
      </c>
      <c r="C283" s="8">
        <v>746885405126</v>
      </c>
      <c r="D283" s="6" t="s">
        <v>426</v>
      </c>
      <c r="E283" s="18">
        <v>2</v>
      </c>
      <c r="F283" s="14">
        <v>24.99</v>
      </c>
      <c r="G283" s="14">
        <v>49.98</v>
      </c>
      <c r="H283" s="7" t="s">
        <v>984</v>
      </c>
      <c r="I283" s="7" t="s">
        <v>947</v>
      </c>
      <c r="J283" s="7" t="s">
        <v>1284</v>
      </c>
      <c r="K283" s="7" t="str">
        <f>HYPERLINK("http://slimages.macys.com/is/image/MCY/10943574 ")</f>
        <v xml:space="preserve">http://slimages.macys.com/is/image/MCY/10943574 </v>
      </c>
    </row>
    <row r="284" spans="1:11" ht="20.100000000000001" customHeight="1" x14ac:dyDescent="0.25">
      <c r="A284" s="12" t="s">
        <v>1362</v>
      </c>
      <c r="B284" s="13">
        <v>13571386</v>
      </c>
      <c r="C284" s="8">
        <v>750105141435</v>
      </c>
      <c r="D284" s="6" t="s">
        <v>1151</v>
      </c>
      <c r="E284" s="18">
        <v>1</v>
      </c>
      <c r="F284" s="14">
        <v>189.99</v>
      </c>
      <c r="G284" s="14">
        <v>189.99</v>
      </c>
      <c r="H284" s="7" t="s">
        <v>941</v>
      </c>
      <c r="I284" s="7" t="s">
        <v>1011</v>
      </c>
      <c r="J284" s="7" t="s">
        <v>1134</v>
      </c>
      <c r="K284" s="7" t="str">
        <f>HYPERLINK("http://slimages.macys.com/is/image/MCY/11935772 ")</f>
        <v xml:space="preserve">http://slimages.macys.com/is/image/MCY/11935772 </v>
      </c>
    </row>
    <row r="285" spans="1:11" ht="20.100000000000001" customHeight="1" x14ac:dyDescent="0.25">
      <c r="A285" s="12" t="s">
        <v>1362</v>
      </c>
      <c r="B285" s="13">
        <v>13571386</v>
      </c>
      <c r="C285" s="8">
        <v>750105141435</v>
      </c>
      <c r="D285" s="6" t="s">
        <v>427</v>
      </c>
      <c r="E285" s="18">
        <v>1</v>
      </c>
      <c r="F285" s="14">
        <v>189.99</v>
      </c>
      <c r="G285" s="14">
        <v>189.99</v>
      </c>
      <c r="H285" s="7" t="s">
        <v>941</v>
      </c>
      <c r="I285" s="7" t="s">
        <v>1011</v>
      </c>
      <c r="J285" s="7" t="s">
        <v>1134</v>
      </c>
      <c r="K285" s="7" t="str">
        <f>HYPERLINK("http://slimages.macys.com/is/image/MCY/11935772 ")</f>
        <v xml:space="preserve">http://slimages.macys.com/is/image/MCY/11935772 </v>
      </c>
    </row>
    <row r="286" spans="1:11" ht="20.100000000000001" customHeight="1" x14ac:dyDescent="0.25">
      <c r="A286" s="12" t="s">
        <v>1362</v>
      </c>
      <c r="B286" s="13">
        <v>13571386</v>
      </c>
      <c r="C286" s="8">
        <v>750105141435</v>
      </c>
      <c r="D286" s="6" t="s">
        <v>1151</v>
      </c>
      <c r="E286" s="18">
        <v>1</v>
      </c>
      <c r="F286" s="14">
        <v>189.99</v>
      </c>
      <c r="G286" s="14">
        <v>189.99</v>
      </c>
      <c r="H286" s="7" t="s">
        <v>941</v>
      </c>
      <c r="I286" s="7" t="s">
        <v>1011</v>
      </c>
      <c r="J286" s="7" t="s">
        <v>1134</v>
      </c>
      <c r="K286" s="7" t="str">
        <f>HYPERLINK("http://slimages.macys.com/is/image/MCY/11935772 ")</f>
        <v xml:space="preserve">http://slimages.macys.com/is/image/MCY/11935772 </v>
      </c>
    </row>
    <row r="287" spans="1:11" ht="20.100000000000001" customHeight="1" x14ac:dyDescent="0.25">
      <c r="A287" s="12" t="s">
        <v>1362</v>
      </c>
      <c r="B287" s="13">
        <v>13571386</v>
      </c>
      <c r="C287" s="8">
        <v>763872702389</v>
      </c>
      <c r="D287" s="6" t="s">
        <v>428</v>
      </c>
      <c r="E287" s="18">
        <v>1</v>
      </c>
      <c r="F287" s="14">
        <v>64.989999999999995</v>
      </c>
      <c r="G287" s="14">
        <v>64.989999999999995</v>
      </c>
      <c r="H287" s="7" t="s">
        <v>950</v>
      </c>
      <c r="I287" s="7" t="s">
        <v>947</v>
      </c>
      <c r="J287" s="7" t="s">
        <v>429</v>
      </c>
      <c r="K287" s="7" t="str">
        <f>HYPERLINK("http://slimages.macys.com/is/image/MCY/14611397 ")</f>
        <v xml:space="preserve">http://slimages.macys.com/is/image/MCY/14611397 </v>
      </c>
    </row>
    <row r="288" spans="1:11" ht="20.100000000000001" customHeight="1" x14ac:dyDescent="0.25">
      <c r="A288" s="12" t="s">
        <v>1362</v>
      </c>
      <c r="B288" s="13">
        <v>13571386</v>
      </c>
      <c r="C288" s="8">
        <v>766195490438</v>
      </c>
      <c r="D288" s="6" t="s">
        <v>430</v>
      </c>
      <c r="E288" s="18">
        <v>1</v>
      </c>
      <c r="F288" s="14">
        <v>3.99</v>
      </c>
      <c r="G288" s="14">
        <v>3.99</v>
      </c>
      <c r="H288" s="7" t="s">
        <v>1044</v>
      </c>
      <c r="I288" s="7" t="s">
        <v>1033</v>
      </c>
      <c r="J288" s="7" t="s">
        <v>1075</v>
      </c>
      <c r="K288" s="7" t="str">
        <f>HYPERLINK("http://slimages.macys.com/is/image/MCY/11926122 ")</f>
        <v xml:space="preserve">http://slimages.macys.com/is/image/MCY/11926122 </v>
      </c>
    </row>
    <row r="289" spans="1:11" ht="20.100000000000001" customHeight="1" x14ac:dyDescent="0.25">
      <c r="A289" s="12" t="s">
        <v>1362</v>
      </c>
      <c r="B289" s="13">
        <v>13571386</v>
      </c>
      <c r="C289" s="8">
        <v>766360449490</v>
      </c>
      <c r="D289" s="6" t="s">
        <v>431</v>
      </c>
      <c r="E289" s="18">
        <v>1</v>
      </c>
      <c r="F289" s="14">
        <v>29.99</v>
      </c>
      <c r="G289" s="14">
        <v>29.99</v>
      </c>
      <c r="H289" s="7" t="s">
        <v>952</v>
      </c>
      <c r="I289" s="7" t="s">
        <v>971</v>
      </c>
      <c r="J289" s="7" t="s">
        <v>972</v>
      </c>
      <c r="K289" s="7" t="str">
        <f>HYPERLINK("http://slimages.macys.com/is/image/MCY/13285480 ")</f>
        <v xml:space="preserve">http://slimages.macys.com/is/image/MCY/13285480 </v>
      </c>
    </row>
    <row r="290" spans="1:11" ht="20.100000000000001" customHeight="1" x14ac:dyDescent="0.25">
      <c r="A290" s="12" t="s">
        <v>1362</v>
      </c>
      <c r="B290" s="13">
        <v>13571386</v>
      </c>
      <c r="C290" s="8">
        <v>766360449506</v>
      </c>
      <c r="D290" s="6" t="s">
        <v>432</v>
      </c>
      <c r="E290" s="18">
        <v>2</v>
      </c>
      <c r="F290" s="14">
        <v>29.99</v>
      </c>
      <c r="G290" s="14">
        <v>59.98</v>
      </c>
      <c r="H290" s="7" t="s">
        <v>433</v>
      </c>
      <c r="I290" s="7" t="s">
        <v>971</v>
      </c>
      <c r="J290" s="7" t="s">
        <v>972</v>
      </c>
      <c r="K290" s="7" t="str">
        <f>HYPERLINK("http://slimages.macys.com/is/image/MCY/13285480 ")</f>
        <v xml:space="preserve">http://slimages.macys.com/is/image/MCY/13285480 </v>
      </c>
    </row>
    <row r="291" spans="1:11" ht="20.100000000000001" customHeight="1" x14ac:dyDescent="0.25">
      <c r="A291" s="12" t="s">
        <v>1362</v>
      </c>
      <c r="B291" s="13">
        <v>13571386</v>
      </c>
      <c r="C291" s="8">
        <v>766360449735</v>
      </c>
      <c r="D291" s="6" t="s">
        <v>434</v>
      </c>
      <c r="E291" s="18">
        <v>1</v>
      </c>
      <c r="F291" s="14">
        <v>9.99</v>
      </c>
      <c r="G291" s="14">
        <v>9.99</v>
      </c>
      <c r="H291" s="7" t="s">
        <v>952</v>
      </c>
      <c r="I291" s="7" t="s">
        <v>971</v>
      </c>
      <c r="J291" s="7" t="s">
        <v>972</v>
      </c>
      <c r="K291" s="7" t="str">
        <f>HYPERLINK("http://slimages.macys.com/is/image/MCY/13285497 ")</f>
        <v xml:space="preserve">http://slimages.macys.com/is/image/MCY/13285497 </v>
      </c>
    </row>
    <row r="292" spans="1:11" ht="20.100000000000001" customHeight="1" x14ac:dyDescent="0.25">
      <c r="A292" s="12" t="s">
        <v>1362</v>
      </c>
      <c r="B292" s="13">
        <v>13571386</v>
      </c>
      <c r="C292" s="8">
        <v>783048017017</v>
      </c>
      <c r="D292" s="6" t="s">
        <v>435</v>
      </c>
      <c r="E292" s="18">
        <v>5</v>
      </c>
      <c r="F292" s="14">
        <v>7.99</v>
      </c>
      <c r="G292" s="14">
        <v>39.950000000000003</v>
      </c>
      <c r="H292" s="7" t="s">
        <v>976</v>
      </c>
      <c r="I292" s="7" t="s">
        <v>1033</v>
      </c>
      <c r="J292" s="7" t="s">
        <v>1021</v>
      </c>
      <c r="K292" s="7" t="str">
        <f>HYPERLINK("http://slimages.macys.com/is/image/MCY/8899831 ")</f>
        <v xml:space="preserve">http://slimages.macys.com/is/image/MCY/8899831 </v>
      </c>
    </row>
    <row r="293" spans="1:11" ht="20.100000000000001" customHeight="1" x14ac:dyDescent="0.25">
      <c r="A293" s="12" t="s">
        <v>1362</v>
      </c>
      <c r="B293" s="13">
        <v>13571386</v>
      </c>
      <c r="C293" s="8">
        <v>783048021458</v>
      </c>
      <c r="D293" s="6" t="s">
        <v>1388</v>
      </c>
      <c r="E293" s="18">
        <v>1</v>
      </c>
      <c r="F293" s="14">
        <v>62.99</v>
      </c>
      <c r="G293" s="14">
        <v>62.99</v>
      </c>
      <c r="H293" s="7" t="s">
        <v>968</v>
      </c>
      <c r="I293" s="7" t="s">
        <v>945</v>
      </c>
      <c r="J293" s="7" t="s">
        <v>1021</v>
      </c>
      <c r="K293" s="7" t="str">
        <f>HYPERLINK("http://slimages.macys.com/is/image/MCY/10005647 ")</f>
        <v xml:space="preserve">http://slimages.macys.com/is/image/MCY/10005647 </v>
      </c>
    </row>
    <row r="294" spans="1:11" ht="20.100000000000001" customHeight="1" x14ac:dyDescent="0.25">
      <c r="A294" s="12" t="s">
        <v>1362</v>
      </c>
      <c r="B294" s="13">
        <v>13571386</v>
      </c>
      <c r="C294" s="8">
        <v>783048037275</v>
      </c>
      <c r="D294" s="6" t="s">
        <v>436</v>
      </c>
      <c r="E294" s="18">
        <v>1</v>
      </c>
      <c r="F294" s="14">
        <v>89.99</v>
      </c>
      <c r="G294" s="14">
        <v>89.99</v>
      </c>
      <c r="H294" s="7"/>
      <c r="I294" s="7" t="s">
        <v>945</v>
      </c>
      <c r="J294" s="7" t="s">
        <v>1021</v>
      </c>
      <c r="K294" s="7" t="str">
        <f>HYPERLINK("http://slimages.macys.com/is/image/MCY/8962717 ")</f>
        <v xml:space="preserve">http://slimages.macys.com/is/image/MCY/8962717 </v>
      </c>
    </row>
    <row r="295" spans="1:11" ht="20.100000000000001" customHeight="1" x14ac:dyDescent="0.25">
      <c r="A295" s="12" t="s">
        <v>1362</v>
      </c>
      <c r="B295" s="13">
        <v>13571386</v>
      </c>
      <c r="C295" s="8">
        <v>783048062635</v>
      </c>
      <c r="D295" s="6" t="s">
        <v>437</v>
      </c>
      <c r="E295" s="18">
        <v>1</v>
      </c>
      <c r="F295" s="14">
        <v>109.99</v>
      </c>
      <c r="G295" s="14">
        <v>109.99</v>
      </c>
      <c r="H295" s="7" t="s">
        <v>1168</v>
      </c>
      <c r="I295" s="7" t="s">
        <v>1003</v>
      </c>
      <c r="J295" s="7" t="s">
        <v>1076</v>
      </c>
      <c r="K295" s="7" t="str">
        <f>HYPERLINK("http://slimages.macys.com/is/image/MCY/12846647 ")</f>
        <v xml:space="preserve">http://slimages.macys.com/is/image/MCY/12846647 </v>
      </c>
    </row>
    <row r="296" spans="1:11" ht="20.100000000000001" customHeight="1" x14ac:dyDescent="0.25">
      <c r="A296" s="12" t="s">
        <v>1362</v>
      </c>
      <c r="B296" s="13">
        <v>13571386</v>
      </c>
      <c r="C296" s="8">
        <v>783048106568</v>
      </c>
      <c r="D296" s="6" t="s">
        <v>438</v>
      </c>
      <c r="E296" s="18">
        <v>1</v>
      </c>
      <c r="F296" s="14">
        <v>144.99</v>
      </c>
      <c r="G296" s="14">
        <v>144.99</v>
      </c>
      <c r="H296" s="7" t="s">
        <v>944</v>
      </c>
      <c r="I296" s="7" t="s">
        <v>945</v>
      </c>
      <c r="J296" s="7" t="s">
        <v>1021</v>
      </c>
      <c r="K296" s="7" t="str">
        <f>HYPERLINK("http://slimages.macys.com/is/image/MCY/16409192 ")</f>
        <v xml:space="preserve">http://slimages.macys.com/is/image/MCY/16409192 </v>
      </c>
    </row>
    <row r="297" spans="1:11" ht="20.100000000000001" customHeight="1" x14ac:dyDescent="0.25">
      <c r="A297" s="12" t="s">
        <v>1362</v>
      </c>
      <c r="B297" s="13">
        <v>13571386</v>
      </c>
      <c r="C297" s="8">
        <v>783048109651</v>
      </c>
      <c r="D297" s="6" t="s">
        <v>439</v>
      </c>
      <c r="E297" s="18">
        <v>1</v>
      </c>
      <c r="F297" s="14">
        <v>32.99</v>
      </c>
      <c r="G297" s="14">
        <v>32.99</v>
      </c>
      <c r="H297" s="7" t="s">
        <v>950</v>
      </c>
      <c r="I297" s="7" t="s">
        <v>958</v>
      </c>
      <c r="J297" s="7" t="s">
        <v>1021</v>
      </c>
      <c r="K297" s="7" t="str">
        <f>HYPERLINK("http://slimages.macys.com/is/image/MCY/15566301 ")</f>
        <v xml:space="preserve">http://slimages.macys.com/is/image/MCY/15566301 </v>
      </c>
    </row>
    <row r="298" spans="1:11" ht="20.100000000000001" customHeight="1" x14ac:dyDescent="0.25">
      <c r="A298" s="12" t="s">
        <v>1362</v>
      </c>
      <c r="B298" s="13">
        <v>13571386</v>
      </c>
      <c r="C298" s="8">
        <v>783048111180</v>
      </c>
      <c r="D298" s="6" t="s">
        <v>440</v>
      </c>
      <c r="E298" s="18">
        <v>1</v>
      </c>
      <c r="F298" s="14">
        <v>279.99</v>
      </c>
      <c r="G298" s="14">
        <v>279.99</v>
      </c>
      <c r="H298" s="7" t="s">
        <v>944</v>
      </c>
      <c r="I298" s="7" t="s">
        <v>966</v>
      </c>
      <c r="J298" s="7" t="s">
        <v>1154</v>
      </c>
      <c r="K298" s="7" t="str">
        <f>HYPERLINK("http://slimages.macys.com/is/image/MCY/15730352 ")</f>
        <v xml:space="preserve">http://slimages.macys.com/is/image/MCY/15730352 </v>
      </c>
    </row>
    <row r="299" spans="1:11" ht="20.100000000000001" customHeight="1" x14ac:dyDescent="0.25">
      <c r="A299" s="12" t="s">
        <v>1362</v>
      </c>
      <c r="B299" s="13">
        <v>13571386</v>
      </c>
      <c r="C299" s="8">
        <v>783048112842</v>
      </c>
      <c r="D299" s="6" t="s">
        <v>441</v>
      </c>
      <c r="E299" s="18">
        <v>1</v>
      </c>
      <c r="F299" s="14">
        <v>129.99</v>
      </c>
      <c r="G299" s="14">
        <v>129.99</v>
      </c>
      <c r="H299" s="7" t="s">
        <v>941</v>
      </c>
      <c r="I299" s="7" t="s">
        <v>966</v>
      </c>
      <c r="J299" s="7" t="s">
        <v>1154</v>
      </c>
      <c r="K299" s="7" t="str">
        <f>HYPERLINK("http://slimages.macys.com/is/image/MCY/15730384 ")</f>
        <v xml:space="preserve">http://slimages.macys.com/is/image/MCY/15730384 </v>
      </c>
    </row>
    <row r="300" spans="1:11" ht="20.100000000000001" customHeight="1" x14ac:dyDescent="0.25">
      <c r="A300" s="12" t="s">
        <v>1362</v>
      </c>
      <c r="B300" s="13">
        <v>13571386</v>
      </c>
      <c r="C300" s="8">
        <v>783048112842</v>
      </c>
      <c r="D300" s="6" t="s">
        <v>441</v>
      </c>
      <c r="E300" s="18">
        <v>1</v>
      </c>
      <c r="F300" s="14">
        <v>129.99</v>
      </c>
      <c r="G300" s="14">
        <v>129.99</v>
      </c>
      <c r="H300" s="7" t="s">
        <v>941</v>
      </c>
      <c r="I300" s="7" t="s">
        <v>966</v>
      </c>
      <c r="J300" s="7" t="s">
        <v>1154</v>
      </c>
      <c r="K300" s="7" t="str">
        <f>HYPERLINK("http://slimages.macys.com/is/image/MCY/15730384 ")</f>
        <v xml:space="preserve">http://slimages.macys.com/is/image/MCY/15730384 </v>
      </c>
    </row>
    <row r="301" spans="1:11" ht="20.100000000000001" customHeight="1" x14ac:dyDescent="0.25">
      <c r="A301" s="12" t="s">
        <v>1362</v>
      </c>
      <c r="B301" s="13">
        <v>13571386</v>
      </c>
      <c r="C301" s="8">
        <v>783048128171</v>
      </c>
      <c r="D301" s="6" t="s">
        <v>1246</v>
      </c>
      <c r="E301" s="18">
        <v>1</v>
      </c>
      <c r="F301" s="14">
        <v>49.99</v>
      </c>
      <c r="G301" s="14">
        <v>49.99</v>
      </c>
      <c r="H301" s="7"/>
      <c r="I301" s="7" t="s">
        <v>945</v>
      </c>
      <c r="J301" s="7" t="s">
        <v>1021</v>
      </c>
      <c r="K301" s="7" t="str">
        <f>HYPERLINK("http://slimages.macys.com/is/image/MCY/17088229 ")</f>
        <v xml:space="preserve">http://slimages.macys.com/is/image/MCY/17088229 </v>
      </c>
    </row>
    <row r="302" spans="1:11" ht="20.100000000000001" customHeight="1" x14ac:dyDescent="0.25">
      <c r="A302" s="12" t="s">
        <v>1362</v>
      </c>
      <c r="B302" s="13">
        <v>13571386</v>
      </c>
      <c r="C302" s="8">
        <v>783048154200</v>
      </c>
      <c r="D302" s="6" t="s">
        <v>1329</v>
      </c>
      <c r="E302" s="18">
        <v>3</v>
      </c>
      <c r="F302" s="14">
        <v>29.99</v>
      </c>
      <c r="G302" s="14">
        <v>89.97</v>
      </c>
      <c r="H302" s="7"/>
      <c r="I302" s="7" t="s">
        <v>945</v>
      </c>
      <c r="J302" s="7" t="s">
        <v>1021</v>
      </c>
      <c r="K302" s="7" t="str">
        <f>HYPERLINK("http://slimages.macys.com/is/image/MCY/18716660 ")</f>
        <v xml:space="preserve">http://slimages.macys.com/is/image/MCY/18716660 </v>
      </c>
    </row>
    <row r="303" spans="1:11" ht="20.100000000000001" customHeight="1" x14ac:dyDescent="0.25">
      <c r="A303" s="12" t="s">
        <v>1362</v>
      </c>
      <c r="B303" s="13">
        <v>13571386</v>
      </c>
      <c r="C303" s="8">
        <v>783048161680</v>
      </c>
      <c r="D303" s="6" t="s">
        <v>442</v>
      </c>
      <c r="E303" s="18">
        <v>1</v>
      </c>
      <c r="F303" s="14">
        <v>49.99</v>
      </c>
      <c r="G303" s="14">
        <v>49.99</v>
      </c>
      <c r="H303" s="7"/>
      <c r="I303" s="7" t="s">
        <v>945</v>
      </c>
      <c r="J303" s="7" t="s">
        <v>1021</v>
      </c>
      <c r="K303" s="7" t="str">
        <f>HYPERLINK("http://slimages.macys.com/is/image/MCY/19685346 ")</f>
        <v xml:space="preserve">http://slimages.macys.com/is/image/MCY/19685346 </v>
      </c>
    </row>
    <row r="304" spans="1:11" ht="20.100000000000001" customHeight="1" x14ac:dyDescent="0.25">
      <c r="A304" s="12" t="s">
        <v>1362</v>
      </c>
      <c r="B304" s="13">
        <v>13571386</v>
      </c>
      <c r="C304" s="8">
        <v>784008134782</v>
      </c>
      <c r="D304" s="6" t="s">
        <v>1330</v>
      </c>
      <c r="E304" s="18">
        <v>1</v>
      </c>
      <c r="F304" s="14">
        <v>69.989999999999995</v>
      </c>
      <c r="G304" s="14">
        <v>69.989999999999995</v>
      </c>
      <c r="H304" s="7" t="s">
        <v>950</v>
      </c>
      <c r="I304" s="7" t="s">
        <v>942</v>
      </c>
      <c r="J304" s="7" t="s">
        <v>943</v>
      </c>
      <c r="K304" s="7" t="str">
        <f>HYPERLINK("http://slimages.macys.com/is/image/MCY/11798924 ")</f>
        <v xml:space="preserve">http://slimages.macys.com/is/image/MCY/11798924 </v>
      </c>
    </row>
    <row r="305" spans="1:11" ht="20.100000000000001" customHeight="1" x14ac:dyDescent="0.25">
      <c r="A305" s="12" t="s">
        <v>1362</v>
      </c>
      <c r="B305" s="13">
        <v>13571386</v>
      </c>
      <c r="C305" s="8">
        <v>784851504619</v>
      </c>
      <c r="D305" s="6" t="s">
        <v>443</v>
      </c>
      <c r="E305" s="18">
        <v>1</v>
      </c>
      <c r="F305" s="14">
        <v>34.99</v>
      </c>
      <c r="G305" s="14">
        <v>34.99</v>
      </c>
      <c r="H305" s="7" t="s">
        <v>941</v>
      </c>
      <c r="I305" s="7" t="s">
        <v>939</v>
      </c>
      <c r="J305" s="7" t="s">
        <v>1213</v>
      </c>
      <c r="K305" s="7" t="str">
        <f>HYPERLINK("http://slimages.macys.com/is/image/MCY/13793285 ")</f>
        <v xml:space="preserve">http://slimages.macys.com/is/image/MCY/13793285 </v>
      </c>
    </row>
    <row r="306" spans="1:11" ht="20.100000000000001" customHeight="1" x14ac:dyDescent="0.25">
      <c r="A306" s="12" t="s">
        <v>1362</v>
      </c>
      <c r="B306" s="13">
        <v>13571386</v>
      </c>
      <c r="C306" s="8">
        <v>784851506910</v>
      </c>
      <c r="D306" s="6" t="s">
        <v>444</v>
      </c>
      <c r="E306" s="18">
        <v>1</v>
      </c>
      <c r="F306" s="14">
        <v>53.99</v>
      </c>
      <c r="G306" s="14">
        <v>53.99</v>
      </c>
      <c r="H306" s="7" t="s">
        <v>950</v>
      </c>
      <c r="I306" s="7" t="s">
        <v>939</v>
      </c>
      <c r="J306" s="7" t="s">
        <v>1213</v>
      </c>
      <c r="K306" s="7" t="str">
        <f>HYPERLINK("http://slimages.macys.com/is/image/MCY/12902077 ")</f>
        <v xml:space="preserve">http://slimages.macys.com/is/image/MCY/12902077 </v>
      </c>
    </row>
    <row r="307" spans="1:11" ht="20.100000000000001" customHeight="1" x14ac:dyDescent="0.25">
      <c r="A307" s="12" t="s">
        <v>1362</v>
      </c>
      <c r="B307" s="13">
        <v>13571386</v>
      </c>
      <c r="C307" s="8">
        <v>784851507139</v>
      </c>
      <c r="D307" s="6" t="s">
        <v>445</v>
      </c>
      <c r="E307" s="18">
        <v>1</v>
      </c>
      <c r="F307" s="14">
        <v>49.99</v>
      </c>
      <c r="G307" s="14">
        <v>49.99</v>
      </c>
      <c r="H307" s="7" t="s">
        <v>987</v>
      </c>
      <c r="I307" s="7" t="s">
        <v>945</v>
      </c>
      <c r="J307" s="7" t="s">
        <v>1433</v>
      </c>
      <c r="K307" s="7" t="str">
        <f>HYPERLINK("http://slimages.macys.com/is/image/MCY/13720244 ")</f>
        <v xml:space="preserve">http://slimages.macys.com/is/image/MCY/13720244 </v>
      </c>
    </row>
    <row r="308" spans="1:11" ht="20.100000000000001" customHeight="1" x14ac:dyDescent="0.25">
      <c r="A308" s="12" t="s">
        <v>1362</v>
      </c>
      <c r="B308" s="13">
        <v>13571386</v>
      </c>
      <c r="C308" s="8">
        <v>784851508945</v>
      </c>
      <c r="D308" s="6" t="s">
        <v>446</v>
      </c>
      <c r="E308" s="18">
        <v>1</v>
      </c>
      <c r="F308" s="14">
        <v>29.99</v>
      </c>
      <c r="G308" s="14">
        <v>29.99</v>
      </c>
      <c r="H308" s="7" t="s">
        <v>941</v>
      </c>
      <c r="I308" s="7" t="s">
        <v>939</v>
      </c>
      <c r="J308" s="7" t="s">
        <v>1213</v>
      </c>
      <c r="K308" s="7" t="str">
        <f>HYPERLINK("http://slimages.macys.com/is/image/MCY/13793558 ")</f>
        <v xml:space="preserve">http://slimages.macys.com/is/image/MCY/13793558 </v>
      </c>
    </row>
    <row r="309" spans="1:11" ht="20.100000000000001" customHeight="1" x14ac:dyDescent="0.25">
      <c r="A309" s="12" t="s">
        <v>1362</v>
      </c>
      <c r="B309" s="13">
        <v>13571386</v>
      </c>
      <c r="C309" s="8">
        <v>784857925715</v>
      </c>
      <c r="D309" s="6" t="s">
        <v>1220</v>
      </c>
      <c r="E309" s="18">
        <v>2</v>
      </c>
      <c r="F309" s="14">
        <v>14.99</v>
      </c>
      <c r="G309" s="14">
        <v>29.98</v>
      </c>
      <c r="H309" s="7" t="s">
        <v>988</v>
      </c>
      <c r="I309" s="7" t="s">
        <v>947</v>
      </c>
      <c r="J309" s="7" t="s">
        <v>1101</v>
      </c>
      <c r="K309" s="7" t="str">
        <f>HYPERLINK("http://slimages.macys.com/is/image/MCY/19178778 ")</f>
        <v xml:space="preserve">http://slimages.macys.com/is/image/MCY/19178778 </v>
      </c>
    </row>
    <row r="310" spans="1:11" ht="20.100000000000001" customHeight="1" x14ac:dyDescent="0.25">
      <c r="A310" s="12" t="s">
        <v>1362</v>
      </c>
      <c r="B310" s="13">
        <v>13571386</v>
      </c>
      <c r="C310" s="8">
        <v>786696214807</v>
      </c>
      <c r="D310" s="6" t="s">
        <v>447</v>
      </c>
      <c r="E310" s="18">
        <v>1</v>
      </c>
      <c r="F310" s="14">
        <v>49.99</v>
      </c>
      <c r="G310" s="14">
        <v>49.99</v>
      </c>
      <c r="H310" s="7" t="s">
        <v>944</v>
      </c>
      <c r="I310" s="7" t="s">
        <v>958</v>
      </c>
      <c r="J310" s="7" t="s">
        <v>448</v>
      </c>
      <c r="K310" s="7" t="str">
        <f>HYPERLINK("http://slimages.macys.com/is/image/MCY/15369192 ")</f>
        <v xml:space="preserve">http://slimages.macys.com/is/image/MCY/15369192 </v>
      </c>
    </row>
    <row r="311" spans="1:11" ht="20.100000000000001" customHeight="1" x14ac:dyDescent="0.25">
      <c r="A311" s="12" t="s">
        <v>1362</v>
      </c>
      <c r="B311" s="13">
        <v>13571386</v>
      </c>
      <c r="C311" s="8">
        <v>788904002077</v>
      </c>
      <c r="D311" s="6" t="s">
        <v>449</v>
      </c>
      <c r="E311" s="18">
        <v>1</v>
      </c>
      <c r="F311" s="14">
        <v>49.99</v>
      </c>
      <c r="G311" s="14">
        <v>49.99</v>
      </c>
      <c r="H311" s="7" t="s">
        <v>944</v>
      </c>
      <c r="I311" s="7" t="s">
        <v>961</v>
      </c>
      <c r="J311" s="7" t="s">
        <v>962</v>
      </c>
      <c r="K311" s="7" t="str">
        <f>HYPERLINK("http://slimages.macys.com/is/image/MCY/15717993 ")</f>
        <v xml:space="preserve">http://slimages.macys.com/is/image/MCY/15717993 </v>
      </c>
    </row>
    <row r="312" spans="1:11" ht="20.100000000000001" customHeight="1" x14ac:dyDescent="0.25">
      <c r="A312" s="12" t="s">
        <v>1362</v>
      </c>
      <c r="B312" s="13">
        <v>13571386</v>
      </c>
      <c r="C312" s="8">
        <v>788904002107</v>
      </c>
      <c r="D312" s="6" t="s">
        <v>1434</v>
      </c>
      <c r="E312" s="18">
        <v>1</v>
      </c>
      <c r="F312" s="14">
        <v>49.99</v>
      </c>
      <c r="G312" s="14">
        <v>49.99</v>
      </c>
      <c r="H312" s="7" t="s">
        <v>1023</v>
      </c>
      <c r="I312" s="7" t="s">
        <v>961</v>
      </c>
      <c r="J312" s="7" t="s">
        <v>962</v>
      </c>
      <c r="K312" s="7" t="str">
        <f>HYPERLINK("http://slimages.macys.com/is/image/MCY/15717993 ")</f>
        <v xml:space="preserve">http://slimages.macys.com/is/image/MCY/15717993 </v>
      </c>
    </row>
    <row r="313" spans="1:11" ht="20.100000000000001" customHeight="1" x14ac:dyDescent="0.25">
      <c r="A313" s="12" t="s">
        <v>1362</v>
      </c>
      <c r="B313" s="13">
        <v>13571386</v>
      </c>
      <c r="C313" s="8">
        <v>788904002169</v>
      </c>
      <c r="D313" s="6" t="s">
        <v>450</v>
      </c>
      <c r="E313" s="18">
        <v>1</v>
      </c>
      <c r="F313" s="14">
        <v>49.99</v>
      </c>
      <c r="G313" s="14">
        <v>49.99</v>
      </c>
      <c r="H313" s="7" t="s">
        <v>987</v>
      </c>
      <c r="I313" s="7" t="s">
        <v>961</v>
      </c>
      <c r="J313" s="7" t="s">
        <v>962</v>
      </c>
      <c r="K313" s="7" t="str">
        <f>HYPERLINK("http://slimages.macys.com/is/image/MCY/15717993 ")</f>
        <v xml:space="preserve">http://slimages.macys.com/is/image/MCY/15717993 </v>
      </c>
    </row>
    <row r="314" spans="1:11" ht="20.100000000000001" customHeight="1" x14ac:dyDescent="0.25">
      <c r="A314" s="12" t="s">
        <v>1362</v>
      </c>
      <c r="B314" s="13">
        <v>13571386</v>
      </c>
      <c r="C314" s="8">
        <v>788904130664</v>
      </c>
      <c r="D314" s="6" t="s">
        <v>451</v>
      </c>
      <c r="E314" s="18">
        <v>9</v>
      </c>
      <c r="F314" s="14">
        <v>39.99</v>
      </c>
      <c r="G314" s="14">
        <v>359.91</v>
      </c>
      <c r="H314" s="7" t="s">
        <v>941</v>
      </c>
      <c r="I314" s="7" t="s">
        <v>961</v>
      </c>
      <c r="J314" s="7" t="s">
        <v>962</v>
      </c>
      <c r="K314" s="7" t="str">
        <f>HYPERLINK("http://slimages.macys.com/is/image/MCY/3895749 ")</f>
        <v xml:space="preserve">http://slimages.macys.com/is/image/MCY/3895749 </v>
      </c>
    </row>
    <row r="315" spans="1:11" ht="20.100000000000001" customHeight="1" x14ac:dyDescent="0.25">
      <c r="A315" s="12" t="s">
        <v>1362</v>
      </c>
      <c r="B315" s="13">
        <v>13571386</v>
      </c>
      <c r="C315" s="8">
        <v>788904130671</v>
      </c>
      <c r="D315" s="6" t="s">
        <v>1018</v>
      </c>
      <c r="E315" s="18">
        <v>1</v>
      </c>
      <c r="F315" s="14">
        <v>39.99</v>
      </c>
      <c r="G315" s="14">
        <v>39.99</v>
      </c>
      <c r="H315" s="7" t="s">
        <v>941</v>
      </c>
      <c r="I315" s="7" t="s">
        <v>961</v>
      </c>
      <c r="J315" s="7" t="s">
        <v>962</v>
      </c>
      <c r="K315" s="7" t="str">
        <f>HYPERLINK("http://slimages.macys.com/is/image/MCY/3895749 ")</f>
        <v xml:space="preserve">http://slimages.macys.com/is/image/MCY/3895749 </v>
      </c>
    </row>
    <row r="316" spans="1:11" ht="20.100000000000001" customHeight="1" x14ac:dyDescent="0.25">
      <c r="A316" s="12" t="s">
        <v>1362</v>
      </c>
      <c r="B316" s="13">
        <v>13571386</v>
      </c>
      <c r="C316" s="8">
        <v>788904130893</v>
      </c>
      <c r="D316" s="6" t="s">
        <v>452</v>
      </c>
      <c r="E316" s="18">
        <v>1</v>
      </c>
      <c r="F316" s="14">
        <v>39.99</v>
      </c>
      <c r="G316" s="14">
        <v>39.99</v>
      </c>
      <c r="H316" s="7" t="s">
        <v>938</v>
      </c>
      <c r="I316" s="7" t="s">
        <v>961</v>
      </c>
      <c r="J316" s="7" t="s">
        <v>962</v>
      </c>
      <c r="K316" s="7" t="str">
        <f>HYPERLINK("http://slimages.macys.com/is/image/MCY/3895749 ")</f>
        <v xml:space="preserve">http://slimages.macys.com/is/image/MCY/3895749 </v>
      </c>
    </row>
    <row r="317" spans="1:11" ht="20.100000000000001" customHeight="1" x14ac:dyDescent="0.25">
      <c r="A317" s="12" t="s">
        <v>1362</v>
      </c>
      <c r="B317" s="13">
        <v>13571386</v>
      </c>
      <c r="C317" s="8">
        <v>788904402334</v>
      </c>
      <c r="D317" s="6" t="s">
        <v>453</v>
      </c>
      <c r="E317" s="18">
        <v>1</v>
      </c>
      <c r="F317" s="14">
        <v>44.99</v>
      </c>
      <c r="G317" s="14">
        <v>44.99</v>
      </c>
      <c r="H317" s="7" t="s">
        <v>941</v>
      </c>
      <c r="I317" s="7" t="s">
        <v>942</v>
      </c>
      <c r="J317" s="7" t="s">
        <v>962</v>
      </c>
      <c r="K317" s="7" t="str">
        <f>HYPERLINK("http://slimages.macys.com/is/image/MCY/11189216 ")</f>
        <v xml:space="preserve">http://slimages.macys.com/is/image/MCY/11189216 </v>
      </c>
    </row>
    <row r="318" spans="1:11" ht="20.100000000000001" customHeight="1" x14ac:dyDescent="0.25">
      <c r="A318" s="12" t="s">
        <v>1362</v>
      </c>
      <c r="B318" s="13">
        <v>13571386</v>
      </c>
      <c r="C318" s="8">
        <v>800298662559</v>
      </c>
      <c r="D318" s="6" t="s">
        <v>454</v>
      </c>
      <c r="E318" s="18">
        <v>1</v>
      </c>
      <c r="F318" s="14">
        <v>169.99</v>
      </c>
      <c r="G318" s="14">
        <v>169.99</v>
      </c>
      <c r="H318" s="7" t="s">
        <v>941</v>
      </c>
      <c r="I318" s="7" t="s">
        <v>999</v>
      </c>
      <c r="J318" s="7" t="s">
        <v>1024</v>
      </c>
      <c r="K318" s="7" t="str">
        <f>HYPERLINK("http://slimages.macys.com/is/image/MCY/10441030 ")</f>
        <v xml:space="preserve">http://slimages.macys.com/is/image/MCY/10441030 </v>
      </c>
    </row>
    <row r="319" spans="1:11" ht="20.100000000000001" customHeight="1" x14ac:dyDescent="0.25">
      <c r="A319" s="12" t="s">
        <v>1362</v>
      </c>
      <c r="B319" s="13">
        <v>13571386</v>
      </c>
      <c r="C319" s="8">
        <v>800298683325</v>
      </c>
      <c r="D319" s="6" t="s">
        <v>455</v>
      </c>
      <c r="E319" s="18">
        <v>1</v>
      </c>
      <c r="F319" s="14">
        <v>125</v>
      </c>
      <c r="G319" s="14">
        <v>125</v>
      </c>
      <c r="H319" s="7" t="s">
        <v>941</v>
      </c>
      <c r="I319" s="7" t="s">
        <v>1003</v>
      </c>
      <c r="J319" s="7" t="s">
        <v>1024</v>
      </c>
      <c r="K319" s="7" t="str">
        <f>HYPERLINK("http://slimages.macys.com/is/image/MCY/16338896 ")</f>
        <v xml:space="preserve">http://slimages.macys.com/is/image/MCY/16338896 </v>
      </c>
    </row>
    <row r="320" spans="1:11" ht="20.100000000000001" customHeight="1" x14ac:dyDescent="0.25">
      <c r="A320" s="12" t="s">
        <v>1362</v>
      </c>
      <c r="B320" s="13">
        <v>13571386</v>
      </c>
      <c r="C320" s="8">
        <v>800298683370</v>
      </c>
      <c r="D320" s="6" t="s">
        <v>456</v>
      </c>
      <c r="E320" s="18">
        <v>1</v>
      </c>
      <c r="F320" s="14">
        <v>139.99</v>
      </c>
      <c r="G320" s="14">
        <v>139.99</v>
      </c>
      <c r="H320" s="7" t="s">
        <v>952</v>
      </c>
      <c r="I320" s="7" t="s">
        <v>999</v>
      </c>
      <c r="J320" s="7" t="s">
        <v>1024</v>
      </c>
      <c r="K320" s="7" t="str">
        <f>HYPERLINK("http://slimages.macys.com/is/image/MCY/16338885 ")</f>
        <v xml:space="preserve">http://slimages.macys.com/is/image/MCY/16338885 </v>
      </c>
    </row>
    <row r="321" spans="1:11" ht="20.100000000000001" customHeight="1" x14ac:dyDescent="0.25">
      <c r="A321" s="12" t="s">
        <v>1362</v>
      </c>
      <c r="B321" s="13">
        <v>13571386</v>
      </c>
      <c r="C321" s="8">
        <v>800298683486</v>
      </c>
      <c r="D321" s="6" t="s">
        <v>457</v>
      </c>
      <c r="E321" s="18">
        <v>1</v>
      </c>
      <c r="F321" s="14">
        <v>99.99</v>
      </c>
      <c r="G321" s="14">
        <v>99.99</v>
      </c>
      <c r="H321" s="7" t="s">
        <v>1025</v>
      </c>
      <c r="I321" s="7" t="s">
        <v>999</v>
      </c>
      <c r="J321" s="7" t="s">
        <v>1024</v>
      </c>
      <c r="K321" s="7" t="str">
        <f>HYPERLINK("http://slimages.macys.com/is/image/MCY/16338975 ")</f>
        <v xml:space="preserve">http://slimages.macys.com/is/image/MCY/16338975 </v>
      </c>
    </row>
    <row r="322" spans="1:11" ht="20.100000000000001" customHeight="1" x14ac:dyDescent="0.25">
      <c r="A322" s="12" t="s">
        <v>1362</v>
      </c>
      <c r="B322" s="13">
        <v>13571386</v>
      </c>
      <c r="C322" s="8">
        <v>800298686791</v>
      </c>
      <c r="D322" s="6" t="s">
        <v>458</v>
      </c>
      <c r="E322" s="18">
        <v>1</v>
      </c>
      <c r="F322" s="14">
        <v>149.99</v>
      </c>
      <c r="G322" s="14">
        <v>149.99</v>
      </c>
      <c r="H322" s="7" t="s">
        <v>987</v>
      </c>
      <c r="I322" s="7" t="s">
        <v>999</v>
      </c>
      <c r="J322" s="7" t="s">
        <v>1024</v>
      </c>
      <c r="K322" s="7" t="str">
        <f>HYPERLINK("http://slimages.macys.com/is/image/MCY/15754094 ")</f>
        <v xml:space="preserve">http://slimages.macys.com/is/image/MCY/15754094 </v>
      </c>
    </row>
    <row r="323" spans="1:11" ht="20.100000000000001" customHeight="1" x14ac:dyDescent="0.25">
      <c r="A323" s="12" t="s">
        <v>1362</v>
      </c>
      <c r="B323" s="13">
        <v>13571386</v>
      </c>
      <c r="C323" s="8">
        <v>806222684574</v>
      </c>
      <c r="D323" s="6" t="s">
        <v>459</v>
      </c>
      <c r="E323" s="18">
        <v>2</v>
      </c>
      <c r="F323" s="14">
        <v>1.99</v>
      </c>
      <c r="G323" s="14">
        <v>3.98</v>
      </c>
      <c r="H323" s="7" t="s">
        <v>944</v>
      </c>
      <c r="I323" s="7" t="s">
        <v>1033</v>
      </c>
      <c r="J323" s="7" t="s">
        <v>460</v>
      </c>
      <c r="K323" s="7" t="str">
        <f>HYPERLINK("http://slimages.macys.com/is/image/MCY/18145997 ")</f>
        <v xml:space="preserve">http://slimages.macys.com/is/image/MCY/18145997 </v>
      </c>
    </row>
    <row r="324" spans="1:11" ht="20.100000000000001" customHeight="1" x14ac:dyDescent="0.25">
      <c r="A324" s="12" t="s">
        <v>1362</v>
      </c>
      <c r="B324" s="13">
        <v>13571386</v>
      </c>
      <c r="C324" s="8">
        <v>807709779561</v>
      </c>
      <c r="D324" s="6" t="s">
        <v>1331</v>
      </c>
      <c r="E324" s="18">
        <v>1</v>
      </c>
      <c r="F324" s="14">
        <v>34.99</v>
      </c>
      <c r="G324" s="14">
        <v>34.99</v>
      </c>
      <c r="H324" s="7" t="s">
        <v>952</v>
      </c>
      <c r="I324" s="7" t="s">
        <v>958</v>
      </c>
      <c r="J324" s="7" t="s">
        <v>1349</v>
      </c>
      <c r="K324" s="7" t="str">
        <f>HYPERLINK("http://slimages.macys.com/is/image/MCY/15394404 ")</f>
        <v xml:space="preserve">http://slimages.macys.com/is/image/MCY/15394404 </v>
      </c>
    </row>
    <row r="325" spans="1:11" ht="20.100000000000001" customHeight="1" x14ac:dyDescent="0.25">
      <c r="A325" s="12" t="s">
        <v>1362</v>
      </c>
      <c r="B325" s="13">
        <v>13571386</v>
      </c>
      <c r="C325" s="8">
        <v>810000330256</v>
      </c>
      <c r="D325" s="6" t="s">
        <v>461</v>
      </c>
      <c r="E325" s="18">
        <v>1</v>
      </c>
      <c r="F325" s="14">
        <v>129.99</v>
      </c>
      <c r="G325" s="14">
        <v>129.99</v>
      </c>
      <c r="H325" s="7" t="s">
        <v>941</v>
      </c>
      <c r="I325" s="7" t="s">
        <v>942</v>
      </c>
      <c r="J325" s="7" t="s">
        <v>462</v>
      </c>
      <c r="K325" s="7" t="str">
        <f>HYPERLINK("http://slimages.macys.com/is/image/MCY/10288564 ")</f>
        <v xml:space="preserve">http://slimages.macys.com/is/image/MCY/10288564 </v>
      </c>
    </row>
    <row r="326" spans="1:11" ht="20.100000000000001" customHeight="1" x14ac:dyDescent="0.25">
      <c r="A326" s="12" t="s">
        <v>1362</v>
      </c>
      <c r="B326" s="13">
        <v>13571386</v>
      </c>
      <c r="C326" s="8">
        <v>810000330362</v>
      </c>
      <c r="D326" s="6" t="s">
        <v>463</v>
      </c>
      <c r="E326" s="18">
        <v>1</v>
      </c>
      <c r="F326" s="14">
        <v>160.99</v>
      </c>
      <c r="G326" s="14">
        <v>160.99</v>
      </c>
      <c r="H326" s="7" t="s">
        <v>941</v>
      </c>
      <c r="I326" s="7" t="s">
        <v>939</v>
      </c>
      <c r="J326" s="7" t="s">
        <v>464</v>
      </c>
      <c r="K326" s="7" t="str">
        <f>HYPERLINK("http://slimages.macys.com/is/image/MCY/10288517 ")</f>
        <v xml:space="preserve">http://slimages.macys.com/is/image/MCY/10288517 </v>
      </c>
    </row>
    <row r="327" spans="1:11" ht="20.100000000000001" customHeight="1" x14ac:dyDescent="0.25">
      <c r="A327" s="12" t="s">
        <v>1362</v>
      </c>
      <c r="B327" s="13">
        <v>13571386</v>
      </c>
      <c r="C327" s="8">
        <v>810001365929</v>
      </c>
      <c r="D327" s="6" t="s">
        <v>465</v>
      </c>
      <c r="E327" s="18">
        <v>1</v>
      </c>
      <c r="F327" s="14">
        <v>37.99</v>
      </c>
      <c r="G327" s="14">
        <v>37.99</v>
      </c>
      <c r="H327" s="7" t="s">
        <v>1082</v>
      </c>
      <c r="I327" s="7" t="s">
        <v>939</v>
      </c>
      <c r="J327" s="7" t="s">
        <v>1192</v>
      </c>
      <c r="K327" s="7" t="str">
        <f>HYPERLINK("http://slimages.macys.com/is/image/MCY/12794885 ")</f>
        <v xml:space="preserve">http://slimages.macys.com/is/image/MCY/12794885 </v>
      </c>
    </row>
    <row r="328" spans="1:11" ht="20.100000000000001" customHeight="1" x14ac:dyDescent="0.25">
      <c r="A328" s="12" t="s">
        <v>1362</v>
      </c>
      <c r="B328" s="13">
        <v>13571386</v>
      </c>
      <c r="C328" s="8">
        <v>810001368456</v>
      </c>
      <c r="D328" s="6" t="s">
        <v>466</v>
      </c>
      <c r="E328" s="18">
        <v>1</v>
      </c>
      <c r="F328" s="14">
        <v>32.99</v>
      </c>
      <c r="G328" s="14">
        <v>32.99</v>
      </c>
      <c r="H328" s="7" t="s">
        <v>938</v>
      </c>
      <c r="I328" s="7" t="s">
        <v>939</v>
      </c>
      <c r="J328" s="7" t="s">
        <v>1192</v>
      </c>
      <c r="K328" s="7" t="str">
        <f>HYPERLINK("http://slimages.macys.com/is/image/MCY/12678589 ")</f>
        <v xml:space="preserve">http://slimages.macys.com/is/image/MCY/12678589 </v>
      </c>
    </row>
    <row r="329" spans="1:11" ht="20.100000000000001" customHeight="1" x14ac:dyDescent="0.25">
      <c r="A329" s="12" t="s">
        <v>1362</v>
      </c>
      <c r="B329" s="13">
        <v>13571386</v>
      </c>
      <c r="C329" s="8">
        <v>810006710717</v>
      </c>
      <c r="D329" s="6" t="s">
        <v>467</v>
      </c>
      <c r="E329" s="18">
        <v>2</v>
      </c>
      <c r="F329" s="14">
        <v>54.99</v>
      </c>
      <c r="G329" s="14">
        <v>109.98</v>
      </c>
      <c r="H329" s="7" t="s">
        <v>1025</v>
      </c>
      <c r="I329" s="7" t="s">
        <v>1033</v>
      </c>
      <c r="J329" s="7" t="s">
        <v>1123</v>
      </c>
      <c r="K329" s="7" t="str">
        <f>HYPERLINK("http://slimages.macys.com/is/image/MCY/11883210 ")</f>
        <v xml:space="preserve">http://slimages.macys.com/is/image/MCY/11883210 </v>
      </c>
    </row>
    <row r="330" spans="1:11" ht="20.100000000000001" customHeight="1" x14ac:dyDescent="0.25">
      <c r="A330" s="12" t="s">
        <v>1362</v>
      </c>
      <c r="B330" s="13">
        <v>13571386</v>
      </c>
      <c r="C330" s="8">
        <v>810031410187</v>
      </c>
      <c r="D330" s="6" t="s">
        <v>468</v>
      </c>
      <c r="E330" s="18">
        <v>1</v>
      </c>
      <c r="F330" s="14">
        <v>29.99</v>
      </c>
      <c r="G330" s="14">
        <v>29.99</v>
      </c>
      <c r="H330" s="7" t="s">
        <v>941</v>
      </c>
      <c r="I330" s="7" t="s">
        <v>1017</v>
      </c>
      <c r="J330" s="7" t="s">
        <v>1127</v>
      </c>
      <c r="K330" s="7" t="str">
        <f>HYPERLINK("http://slimages.macys.com/is/image/MCY/14915252 ")</f>
        <v xml:space="preserve">http://slimages.macys.com/is/image/MCY/14915252 </v>
      </c>
    </row>
    <row r="331" spans="1:11" ht="20.100000000000001" customHeight="1" x14ac:dyDescent="0.25">
      <c r="A331" s="12" t="s">
        <v>1362</v>
      </c>
      <c r="B331" s="13">
        <v>13571386</v>
      </c>
      <c r="C331" s="8">
        <v>810039580042</v>
      </c>
      <c r="D331" s="6" t="s">
        <v>469</v>
      </c>
      <c r="E331" s="18">
        <v>1</v>
      </c>
      <c r="F331" s="14">
        <v>79.989999999999995</v>
      </c>
      <c r="G331" s="14">
        <v>79.989999999999995</v>
      </c>
      <c r="H331" s="7" t="s">
        <v>950</v>
      </c>
      <c r="I331" s="7" t="s">
        <v>947</v>
      </c>
      <c r="J331" s="7" t="s">
        <v>470</v>
      </c>
      <c r="K331" s="7" t="str">
        <f>HYPERLINK("http://slimages.macys.com/is/image/MCY/17026146 ")</f>
        <v xml:space="preserve">http://slimages.macys.com/is/image/MCY/17026146 </v>
      </c>
    </row>
    <row r="332" spans="1:11" ht="20.100000000000001" customHeight="1" x14ac:dyDescent="0.25">
      <c r="A332" s="12" t="s">
        <v>1362</v>
      </c>
      <c r="B332" s="13">
        <v>13571386</v>
      </c>
      <c r="C332" s="8">
        <v>810549020854</v>
      </c>
      <c r="D332" s="6" t="s">
        <v>1142</v>
      </c>
      <c r="E332" s="18">
        <v>1</v>
      </c>
      <c r="F332" s="14">
        <v>28.99</v>
      </c>
      <c r="G332" s="14">
        <v>28.99</v>
      </c>
      <c r="H332" s="7" t="s">
        <v>941</v>
      </c>
      <c r="I332" s="7" t="s">
        <v>942</v>
      </c>
      <c r="J332" s="7" t="s">
        <v>1143</v>
      </c>
      <c r="K332" s="7" t="str">
        <f>HYPERLINK("http://slimages.macys.com/is/image/MCY/16854527 ")</f>
        <v xml:space="preserve">http://slimages.macys.com/is/image/MCY/16854527 </v>
      </c>
    </row>
    <row r="333" spans="1:11" ht="20.100000000000001" customHeight="1" x14ac:dyDescent="0.25">
      <c r="A333" s="12" t="s">
        <v>1362</v>
      </c>
      <c r="B333" s="13">
        <v>13571386</v>
      </c>
      <c r="C333" s="8">
        <v>813766020133</v>
      </c>
      <c r="D333" s="6" t="s">
        <v>471</v>
      </c>
      <c r="E333" s="18">
        <v>1</v>
      </c>
      <c r="F333" s="14">
        <v>59.99</v>
      </c>
      <c r="G333" s="14">
        <v>59.99</v>
      </c>
      <c r="H333" s="7" t="s">
        <v>938</v>
      </c>
      <c r="I333" s="7" t="s">
        <v>958</v>
      </c>
      <c r="J333" s="7" t="s">
        <v>959</v>
      </c>
      <c r="K333" s="7" t="str">
        <f>HYPERLINK("http://slimages.macys.com/is/image/MCY/12345539 ")</f>
        <v xml:space="preserve">http://slimages.macys.com/is/image/MCY/12345539 </v>
      </c>
    </row>
    <row r="334" spans="1:11" ht="20.100000000000001" customHeight="1" x14ac:dyDescent="0.25">
      <c r="A334" s="12" t="s">
        <v>1362</v>
      </c>
      <c r="B334" s="13">
        <v>13571386</v>
      </c>
      <c r="C334" s="8">
        <v>813766022892</v>
      </c>
      <c r="D334" s="6" t="s">
        <v>472</v>
      </c>
      <c r="E334" s="18">
        <v>1</v>
      </c>
      <c r="F334" s="14">
        <v>79.989999999999995</v>
      </c>
      <c r="G334" s="14">
        <v>79.989999999999995</v>
      </c>
      <c r="H334" s="7" t="s">
        <v>938</v>
      </c>
      <c r="I334" s="7" t="s">
        <v>958</v>
      </c>
      <c r="J334" s="7" t="s">
        <v>959</v>
      </c>
      <c r="K334" s="7" t="str">
        <f>HYPERLINK("http://slimages.macys.com/is/image/MCY/12345878 ")</f>
        <v xml:space="preserve">http://slimages.macys.com/is/image/MCY/12345878 </v>
      </c>
    </row>
    <row r="335" spans="1:11" ht="20.100000000000001" customHeight="1" x14ac:dyDescent="0.25">
      <c r="A335" s="12" t="s">
        <v>1362</v>
      </c>
      <c r="B335" s="13">
        <v>13571386</v>
      </c>
      <c r="C335" s="8">
        <v>814168026679</v>
      </c>
      <c r="D335" s="6" t="s">
        <v>473</v>
      </c>
      <c r="E335" s="18">
        <v>1</v>
      </c>
      <c r="F335" s="14">
        <v>117.99</v>
      </c>
      <c r="G335" s="14">
        <v>117.99</v>
      </c>
      <c r="H335" s="7" t="s">
        <v>941</v>
      </c>
      <c r="I335" s="7" t="s">
        <v>947</v>
      </c>
      <c r="J335" s="7" t="s">
        <v>1099</v>
      </c>
      <c r="K335" s="7" t="str">
        <f>HYPERLINK("http://slimages.macys.com/is/image/MCY/14318050 ")</f>
        <v xml:space="preserve">http://slimages.macys.com/is/image/MCY/14318050 </v>
      </c>
    </row>
    <row r="336" spans="1:11" ht="20.100000000000001" customHeight="1" x14ac:dyDescent="0.25">
      <c r="A336" s="12" t="s">
        <v>1362</v>
      </c>
      <c r="B336" s="13">
        <v>13571386</v>
      </c>
      <c r="C336" s="8">
        <v>814740020149</v>
      </c>
      <c r="D336" s="6" t="s">
        <v>474</v>
      </c>
      <c r="E336" s="18">
        <v>1</v>
      </c>
      <c r="F336" s="14">
        <v>126.99</v>
      </c>
      <c r="G336" s="14">
        <v>126.99</v>
      </c>
      <c r="H336" s="7" t="s">
        <v>994</v>
      </c>
      <c r="I336" s="7" t="s">
        <v>945</v>
      </c>
      <c r="J336" s="7" t="s">
        <v>1049</v>
      </c>
      <c r="K336" s="7" t="str">
        <f>HYPERLINK("http://slimages.macys.com/is/image/MCY/10673418 ")</f>
        <v xml:space="preserve">http://slimages.macys.com/is/image/MCY/10673418 </v>
      </c>
    </row>
    <row r="337" spans="1:11" ht="20.100000000000001" customHeight="1" x14ac:dyDescent="0.25">
      <c r="A337" s="12" t="s">
        <v>1362</v>
      </c>
      <c r="B337" s="13">
        <v>13571386</v>
      </c>
      <c r="C337" s="8">
        <v>814760023359</v>
      </c>
      <c r="D337" s="6" t="s">
        <v>475</v>
      </c>
      <c r="E337" s="18">
        <v>1</v>
      </c>
      <c r="F337" s="14">
        <v>44.99</v>
      </c>
      <c r="G337" s="14">
        <v>44.99</v>
      </c>
      <c r="H337" s="7" t="s">
        <v>941</v>
      </c>
      <c r="I337" s="7" t="s">
        <v>939</v>
      </c>
      <c r="J337" s="7" t="s">
        <v>953</v>
      </c>
      <c r="K337" s="7" t="str">
        <f>HYPERLINK("http://slimages.macys.com/is/image/MCY/10681673 ")</f>
        <v xml:space="preserve">http://slimages.macys.com/is/image/MCY/10681673 </v>
      </c>
    </row>
    <row r="338" spans="1:11" ht="20.100000000000001" customHeight="1" x14ac:dyDescent="0.25">
      <c r="A338" s="12" t="s">
        <v>1362</v>
      </c>
      <c r="B338" s="13">
        <v>13571386</v>
      </c>
      <c r="C338" s="8">
        <v>814942025263</v>
      </c>
      <c r="D338" s="6" t="s">
        <v>476</v>
      </c>
      <c r="E338" s="18">
        <v>1</v>
      </c>
      <c r="F338" s="14">
        <v>46.99</v>
      </c>
      <c r="G338" s="14">
        <v>46.99</v>
      </c>
      <c r="H338" s="7" t="s">
        <v>944</v>
      </c>
      <c r="I338" s="7" t="s">
        <v>947</v>
      </c>
      <c r="J338" s="7" t="s">
        <v>1139</v>
      </c>
      <c r="K338" s="7" t="str">
        <f>HYPERLINK("http://slimages.macys.com/is/image/MCY/10208480 ")</f>
        <v xml:space="preserve">http://slimages.macys.com/is/image/MCY/10208480 </v>
      </c>
    </row>
    <row r="339" spans="1:11" ht="20.100000000000001" customHeight="1" x14ac:dyDescent="0.25">
      <c r="A339" s="12" t="s">
        <v>1362</v>
      </c>
      <c r="B339" s="13">
        <v>13571386</v>
      </c>
      <c r="C339" s="8">
        <v>814945025451</v>
      </c>
      <c r="D339" s="6" t="s">
        <v>477</v>
      </c>
      <c r="E339" s="18">
        <v>1</v>
      </c>
      <c r="F339" s="14">
        <v>22.99</v>
      </c>
      <c r="G339" s="14">
        <v>22.99</v>
      </c>
      <c r="H339" s="7" t="s">
        <v>1001</v>
      </c>
      <c r="I339" s="7" t="s">
        <v>947</v>
      </c>
      <c r="J339" s="7" t="s">
        <v>1263</v>
      </c>
      <c r="K339" s="7" t="str">
        <f>HYPERLINK("http://slimages.macys.com/is/image/MCY/10181965 ")</f>
        <v xml:space="preserve">http://slimages.macys.com/is/image/MCY/10181965 </v>
      </c>
    </row>
    <row r="340" spans="1:11" ht="20.100000000000001" customHeight="1" x14ac:dyDescent="0.25">
      <c r="A340" s="12" t="s">
        <v>1362</v>
      </c>
      <c r="B340" s="13">
        <v>13571386</v>
      </c>
      <c r="C340" s="8">
        <v>815584024560</v>
      </c>
      <c r="D340" s="6" t="s">
        <v>478</v>
      </c>
      <c r="E340" s="18">
        <v>1</v>
      </c>
      <c r="F340" s="14">
        <v>82.99</v>
      </c>
      <c r="G340" s="14">
        <v>82.99</v>
      </c>
      <c r="H340" s="7" t="s">
        <v>941</v>
      </c>
      <c r="I340" s="7" t="s">
        <v>942</v>
      </c>
      <c r="J340" s="7" t="s">
        <v>1260</v>
      </c>
      <c r="K340" s="7" t="str">
        <f>HYPERLINK("http://slimages.macys.com/is/image/MCY/12334400 ")</f>
        <v xml:space="preserve">http://slimages.macys.com/is/image/MCY/12334400 </v>
      </c>
    </row>
    <row r="341" spans="1:11" ht="20.100000000000001" customHeight="1" x14ac:dyDescent="0.25">
      <c r="A341" s="12" t="s">
        <v>1362</v>
      </c>
      <c r="B341" s="13">
        <v>13571386</v>
      </c>
      <c r="C341" s="8">
        <v>815584028544</v>
      </c>
      <c r="D341" s="6" t="s">
        <v>479</v>
      </c>
      <c r="E341" s="18">
        <v>1</v>
      </c>
      <c r="F341" s="14">
        <v>198</v>
      </c>
      <c r="G341" s="14">
        <v>198</v>
      </c>
      <c r="H341" s="7" t="s">
        <v>941</v>
      </c>
      <c r="I341" s="7" t="s">
        <v>1058</v>
      </c>
      <c r="J341" s="7" t="s">
        <v>1260</v>
      </c>
      <c r="K341" s="7" t="str">
        <f>HYPERLINK("http://images.bloomingdales.com/is/image/BLM/10790180 ")</f>
        <v xml:space="preserve">http://images.bloomingdales.com/is/image/BLM/10790180 </v>
      </c>
    </row>
    <row r="342" spans="1:11" ht="20.100000000000001" customHeight="1" x14ac:dyDescent="0.25">
      <c r="A342" s="12" t="s">
        <v>1362</v>
      </c>
      <c r="B342" s="13">
        <v>13571386</v>
      </c>
      <c r="C342" s="8">
        <v>816651021659</v>
      </c>
      <c r="D342" s="6" t="s">
        <v>480</v>
      </c>
      <c r="E342" s="18">
        <v>1</v>
      </c>
      <c r="F342" s="14">
        <v>44.99</v>
      </c>
      <c r="G342" s="14">
        <v>44.99</v>
      </c>
      <c r="H342" s="7" t="s">
        <v>950</v>
      </c>
      <c r="I342" s="7" t="s">
        <v>939</v>
      </c>
      <c r="J342" s="7" t="s">
        <v>953</v>
      </c>
      <c r="K342" s="7" t="str">
        <f>HYPERLINK("http://slimages.macys.com/is/image/MCY/10721543 ")</f>
        <v xml:space="preserve">http://slimages.macys.com/is/image/MCY/10721543 </v>
      </c>
    </row>
    <row r="343" spans="1:11" ht="20.100000000000001" customHeight="1" x14ac:dyDescent="0.25">
      <c r="A343" s="12" t="s">
        <v>1362</v>
      </c>
      <c r="B343" s="13">
        <v>13571386</v>
      </c>
      <c r="C343" s="8">
        <v>816651021680</v>
      </c>
      <c r="D343" s="6" t="s">
        <v>481</v>
      </c>
      <c r="E343" s="18">
        <v>1</v>
      </c>
      <c r="F343" s="14">
        <v>44.99</v>
      </c>
      <c r="G343" s="14">
        <v>44.99</v>
      </c>
      <c r="H343" s="7" t="s">
        <v>968</v>
      </c>
      <c r="I343" s="7" t="s">
        <v>939</v>
      </c>
      <c r="J343" s="7" t="s">
        <v>953</v>
      </c>
      <c r="K343" s="7" t="str">
        <f>HYPERLINK("http://slimages.macys.com/is/image/MCY/10721543 ")</f>
        <v xml:space="preserve">http://slimages.macys.com/is/image/MCY/10721543 </v>
      </c>
    </row>
    <row r="344" spans="1:11" ht="20.100000000000001" customHeight="1" x14ac:dyDescent="0.25">
      <c r="A344" s="12" t="s">
        <v>1362</v>
      </c>
      <c r="B344" s="13">
        <v>13571386</v>
      </c>
      <c r="C344" s="8">
        <v>816651022014</v>
      </c>
      <c r="D344" s="6" t="s">
        <v>482</v>
      </c>
      <c r="E344" s="18">
        <v>1</v>
      </c>
      <c r="F344" s="14">
        <v>44.99</v>
      </c>
      <c r="G344" s="14">
        <v>44.99</v>
      </c>
      <c r="H344" s="7" t="s">
        <v>976</v>
      </c>
      <c r="I344" s="7" t="s">
        <v>939</v>
      </c>
      <c r="J344" s="7" t="s">
        <v>953</v>
      </c>
      <c r="K344" s="7" t="str">
        <f>HYPERLINK("http://slimages.macys.com/is/image/MCY/10721543 ")</f>
        <v xml:space="preserve">http://slimages.macys.com/is/image/MCY/10721543 </v>
      </c>
    </row>
    <row r="345" spans="1:11" ht="20.100000000000001" customHeight="1" x14ac:dyDescent="0.25">
      <c r="A345" s="12" t="s">
        <v>1362</v>
      </c>
      <c r="B345" s="13">
        <v>13571386</v>
      </c>
      <c r="C345" s="8">
        <v>816651024698</v>
      </c>
      <c r="D345" s="6" t="s">
        <v>483</v>
      </c>
      <c r="E345" s="18">
        <v>2</v>
      </c>
      <c r="F345" s="14">
        <v>74.989999999999995</v>
      </c>
      <c r="G345" s="14">
        <v>149.97999999999999</v>
      </c>
      <c r="H345" s="7" t="s">
        <v>941</v>
      </c>
      <c r="I345" s="7" t="s">
        <v>939</v>
      </c>
      <c r="J345" s="7" t="s">
        <v>953</v>
      </c>
      <c r="K345" s="7" t="str">
        <f>HYPERLINK("http://slimages.macys.com/is/image/MCY/10682478 ")</f>
        <v xml:space="preserve">http://slimages.macys.com/is/image/MCY/10682478 </v>
      </c>
    </row>
    <row r="346" spans="1:11" ht="20.100000000000001" customHeight="1" x14ac:dyDescent="0.25">
      <c r="A346" s="12" t="s">
        <v>1362</v>
      </c>
      <c r="B346" s="13">
        <v>13571386</v>
      </c>
      <c r="C346" s="8">
        <v>816651024711</v>
      </c>
      <c r="D346" s="6" t="s">
        <v>484</v>
      </c>
      <c r="E346" s="18">
        <v>1</v>
      </c>
      <c r="F346" s="14">
        <v>74.989999999999995</v>
      </c>
      <c r="G346" s="14">
        <v>74.989999999999995</v>
      </c>
      <c r="H346" s="7" t="s">
        <v>944</v>
      </c>
      <c r="I346" s="7" t="s">
        <v>939</v>
      </c>
      <c r="J346" s="7" t="s">
        <v>953</v>
      </c>
      <c r="K346" s="7" t="str">
        <f>HYPERLINK("http://slimages.macys.com/is/image/MCY/10682478 ")</f>
        <v xml:space="preserve">http://slimages.macys.com/is/image/MCY/10682478 </v>
      </c>
    </row>
    <row r="347" spans="1:11" ht="20.100000000000001" customHeight="1" x14ac:dyDescent="0.25">
      <c r="A347" s="12" t="s">
        <v>1362</v>
      </c>
      <c r="B347" s="13">
        <v>13571386</v>
      </c>
      <c r="C347" s="8">
        <v>816651025558</v>
      </c>
      <c r="D347" s="6" t="s">
        <v>485</v>
      </c>
      <c r="E347" s="18">
        <v>1</v>
      </c>
      <c r="F347" s="14">
        <v>74.989999999999995</v>
      </c>
      <c r="G347" s="14">
        <v>74.989999999999995</v>
      </c>
      <c r="H347" s="7" t="s">
        <v>950</v>
      </c>
      <c r="I347" s="7" t="s">
        <v>939</v>
      </c>
      <c r="J347" s="7" t="s">
        <v>953</v>
      </c>
      <c r="K347" s="7" t="str">
        <f>HYPERLINK("http://slimages.macys.com/is/image/MCY/10682478 ")</f>
        <v xml:space="preserve">http://slimages.macys.com/is/image/MCY/10682478 </v>
      </c>
    </row>
    <row r="348" spans="1:11" ht="20.100000000000001" customHeight="1" x14ac:dyDescent="0.25">
      <c r="A348" s="12" t="s">
        <v>1362</v>
      </c>
      <c r="B348" s="13">
        <v>13571386</v>
      </c>
      <c r="C348" s="8">
        <v>816651028818</v>
      </c>
      <c r="D348" s="6" t="s">
        <v>486</v>
      </c>
      <c r="E348" s="18">
        <v>1</v>
      </c>
      <c r="F348" s="14">
        <v>49.99</v>
      </c>
      <c r="G348" s="14">
        <v>49.99</v>
      </c>
      <c r="H348" s="7" t="s">
        <v>1013</v>
      </c>
      <c r="I348" s="7" t="s">
        <v>939</v>
      </c>
      <c r="J348" s="7" t="s">
        <v>953</v>
      </c>
      <c r="K348" s="7" t="str">
        <f>HYPERLINK("http://slimages.macys.com/is/image/MCY/10682854 ")</f>
        <v xml:space="preserve">http://slimages.macys.com/is/image/MCY/10682854 </v>
      </c>
    </row>
    <row r="349" spans="1:11" ht="20.100000000000001" customHeight="1" x14ac:dyDescent="0.25">
      <c r="A349" s="12" t="s">
        <v>1362</v>
      </c>
      <c r="B349" s="13">
        <v>13571386</v>
      </c>
      <c r="C349" s="8">
        <v>818784024750</v>
      </c>
      <c r="D349" s="6" t="s">
        <v>487</v>
      </c>
      <c r="E349" s="18">
        <v>1</v>
      </c>
      <c r="F349" s="14">
        <v>158.99</v>
      </c>
      <c r="G349" s="14">
        <v>158.99</v>
      </c>
      <c r="H349" s="7" t="s">
        <v>1013</v>
      </c>
      <c r="I349" s="7" t="s">
        <v>939</v>
      </c>
      <c r="J349" s="7" t="s">
        <v>488</v>
      </c>
      <c r="K349" s="7" t="str">
        <f>HYPERLINK("http://slimages.macys.com/is/image/MCY/15816315 ")</f>
        <v xml:space="preserve">http://slimages.macys.com/is/image/MCY/15816315 </v>
      </c>
    </row>
    <row r="350" spans="1:11" ht="20.100000000000001" customHeight="1" x14ac:dyDescent="0.25">
      <c r="A350" s="12" t="s">
        <v>1362</v>
      </c>
      <c r="B350" s="13">
        <v>13571386</v>
      </c>
      <c r="C350" s="8">
        <v>819352022253</v>
      </c>
      <c r="D350" s="6" t="s">
        <v>489</v>
      </c>
      <c r="E350" s="18">
        <v>1</v>
      </c>
      <c r="F350" s="14">
        <v>33.99</v>
      </c>
      <c r="G350" s="14">
        <v>33.99</v>
      </c>
      <c r="H350" s="7" t="s">
        <v>984</v>
      </c>
      <c r="I350" s="7" t="s">
        <v>939</v>
      </c>
      <c r="J350" s="7" t="s">
        <v>1213</v>
      </c>
      <c r="K350" s="7" t="str">
        <f>HYPERLINK("http://slimages.macys.com/is/image/MCY/11799844 ")</f>
        <v xml:space="preserve">http://slimages.macys.com/is/image/MCY/11799844 </v>
      </c>
    </row>
    <row r="351" spans="1:11" ht="20.100000000000001" customHeight="1" x14ac:dyDescent="0.25">
      <c r="A351" s="12" t="s">
        <v>1362</v>
      </c>
      <c r="B351" s="13">
        <v>13571386</v>
      </c>
      <c r="C351" s="8">
        <v>840008318543</v>
      </c>
      <c r="D351" s="6" t="s">
        <v>490</v>
      </c>
      <c r="E351" s="18">
        <v>1</v>
      </c>
      <c r="F351" s="14">
        <v>104.99</v>
      </c>
      <c r="G351" s="14">
        <v>104.99</v>
      </c>
      <c r="H351" s="7" t="s">
        <v>941</v>
      </c>
      <c r="I351" s="7" t="s">
        <v>942</v>
      </c>
      <c r="J351" s="7" t="s">
        <v>1085</v>
      </c>
      <c r="K351" s="7" t="str">
        <f>HYPERLINK("http://slimages.macys.com/is/image/MCY/15099447 ")</f>
        <v xml:space="preserve">http://slimages.macys.com/is/image/MCY/15099447 </v>
      </c>
    </row>
    <row r="352" spans="1:11" ht="20.100000000000001" customHeight="1" x14ac:dyDescent="0.25">
      <c r="A352" s="12" t="s">
        <v>1362</v>
      </c>
      <c r="B352" s="13">
        <v>13571386</v>
      </c>
      <c r="C352" s="8">
        <v>840037205975</v>
      </c>
      <c r="D352" s="6" t="s">
        <v>491</v>
      </c>
      <c r="E352" s="18">
        <v>1</v>
      </c>
      <c r="F352" s="14">
        <v>29.99</v>
      </c>
      <c r="G352" s="14">
        <v>29.99</v>
      </c>
      <c r="H352" s="7" t="s">
        <v>1168</v>
      </c>
      <c r="I352" s="7" t="s">
        <v>958</v>
      </c>
      <c r="J352" s="7" t="s">
        <v>1237</v>
      </c>
      <c r="K352" s="7" t="str">
        <f>HYPERLINK("http://slimages.macys.com/is/image/MCY/19069706 ")</f>
        <v xml:space="preserve">http://slimages.macys.com/is/image/MCY/19069706 </v>
      </c>
    </row>
    <row r="353" spans="1:11" ht="20.100000000000001" customHeight="1" x14ac:dyDescent="0.25">
      <c r="A353" s="12" t="s">
        <v>1362</v>
      </c>
      <c r="B353" s="13">
        <v>13571386</v>
      </c>
      <c r="C353" s="8">
        <v>840053094812</v>
      </c>
      <c r="D353" s="6" t="s">
        <v>492</v>
      </c>
      <c r="E353" s="18">
        <v>1</v>
      </c>
      <c r="F353" s="14">
        <v>61.99</v>
      </c>
      <c r="G353" s="14">
        <v>61.99</v>
      </c>
      <c r="H353" s="7" t="s">
        <v>1068</v>
      </c>
      <c r="I353" s="7" t="s">
        <v>945</v>
      </c>
      <c r="J353" s="7" t="s">
        <v>1159</v>
      </c>
      <c r="K353" s="7" t="str">
        <f>HYPERLINK("http://slimages.macys.com/is/image/MCY/13046185 ")</f>
        <v xml:space="preserve">http://slimages.macys.com/is/image/MCY/13046185 </v>
      </c>
    </row>
    <row r="354" spans="1:11" ht="20.100000000000001" customHeight="1" x14ac:dyDescent="0.25">
      <c r="A354" s="12" t="s">
        <v>1362</v>
      </c>
      <c r="B354" s="13">
        <v>13571386</v>
      </c>
      <c r="C354" s="8">
        <v>840444148391</v>
      </c>
      <c r="D354" s="6" t="s">
        <v>493</v>
      </c>
      <c r="E354" s="18">
        <v>1</v>
      </c>
      <c r="F354" s="14">
        <v>188.99</v>
      </c>
      <c r="G354" s="14">
        <v>188.99</v>
      </c>
      <c r="H354" s="7" t="s">
        <v>1201</v>
      </c>
      <c r="I354" s="7" t="s">
        <v>945</v>
      </c>
      <c r="J354" s="7" t="s">
        <v>946</v>
      </c>
      <c r="K354" s="7" t="str">
        <f>HYPERLINK("http://slimages.macys.com/is/image/MCY/10143303 ")</f>
        <v xml:space="preserve">http://slimages.macys.com/is/image/MCY/10143303 </v>
      </c>
    </row>
    <row r="355" spans="1:11" ht="20.100000000000001" customHeight="1" x14ac:dyDescent="0.25">
      <c r="A355" s="12" t="s">
        <v>1362</v>
      </c>
      <c r="B355" s="13">
        <v>13571386</v>
      </c>
      <c r="C355" s="8">
        <v>840970127457</v>
      </c>
      <c r="D355" s="6" t="s">
        <v>494</v>
      </c>
      <c r="E355" s="18">
        <v>1</v>
      </c>
      <c r="F355" s="14">
        <v>29.99</v>
      </c>
      <c r="G355" s="14">
        <v>29.99</v>
      </c>
      <c r="H355" s="7" t="s">
        <v>987</v>
      </c>
      <c r="I355" s="7" t="s">
        <v>939</v>
      </c>
      <c r="J355" s="7" t="s">
        <v>1006</v>
      </c>
      <c r="K355" s="7" t="str">
        <f>HYPERLINK("http://slimages.macys.com/is/image/MCY/13837414 ")</f>
        <v xml:space="preserve">http://slimages.macys.com/is/image/MCY/13837414 </v>
      </c>
    </row>
    <row r="356" spans="1:11" ht="20.100000000000001" customHeight="1" x14ac:dyDescent="0.25">
      <c r="A356" s="12" t="s">
        <v>1362</v>
      </c>
      <c r="B356" s="13">
        <v>13571386</v>
      </c>
      <c r="C356" s="8">
        <v>840970140968</v>
      </c>
      <c r="D356" s="6" t="s">
        <v>495</v>
      </c>
      <c r="E356" s="18">
        <v>1</v>
      </c>
      <c r="F356" s="14">
        <v>13.99</v>
      </c>
      <c r="G356" s="14">
        <v>13.99</v>
      </c>
      <c r="H356" s="7" t="s">
        <v>941</v>
      </c>
      <c r="I356" s="7" t="s">
        <v>939</v>
      </c>
      <c r="J356" s="7" t="s">
        <v>1006</v>
      </c>
      <c r="K356" s="7" t="str">
        <f>HYPERLINK("http://slimages.macys.com/is/image/MCY/13837919 ")</f>
        <v xml:space="preserve">http://slimages.macys.com/is/image/MCY/13837919 </v>
      </c>
    </row>
    <row r="357" spans="1:11" ht="20.100000000000001" customHeight="1" x14ac:dyDescent="0.25">
      <c r="A357" s="12" t="s">
        <v>1362</v>
      </c>
      <c r="B357" s="13">
        <v>13571386</v>
      </c>
      <c r="C357" s="8">
        <v>840970140982</v>
      </c>
      <c r="D357" s="6" t="s">
        <v>496</v>
      </c>
      <c r="E357" s="18">
        <v>1</v>
      </c>
      <c r="F357" s="14">
        <v>13.99</v>
      </c>
      <c r="G357" s="14">
        <v>13.99</v>
      </c>
      <c r="H357" s="7" t="s">
        <v>941</v>
      </c>
      <c r="I357" s="7" t="s">
        <v>939</v>
      </c>
      <c r="J357" s="7" t="s">
        <v>1006</v>
      </c>
      <c r="K357" s="7" t="str">
        <f>HYPERLINK("http://slimages.macys.com/is/image/MCY/13837928 ")</f>
        <v xml:space="preserve">http://slimages.macys.com/is/image/MCY/13837928 </v>
      </c>
    </row>
    <row r="358" spans="1:11" ht="20.100000000000001" customHeight="1" x14ac:dyDescent="0.25">
      <c r="A358" s="12" t="s">
        <v>1362</v>
      </c>
      <c r="B358" s="13">
        <v>13571386</v>
      </c>
      <c r="C358" s="8">
        <v>840970158208</v>
      </c>
      <c r="D358" s="6" t="s">
        <v>497</v>
      </c>
      <c r="E358" s="18">
        <v>1</v>
      </c>
      <c r="F358" s="14">
        <v>34.99</v>
      </c>
      <c r="G358" s="14">
        <v>34.99</v>
      </c>
      <c r="H358" s="7" t="s">
        <v>938</v>
      </c>
      <c r="I358" s="7" t="s">
        <v>939</v>
      </c>
      <c r="J358" s="7" t="s">
        <v>1006</v>
      </c>
      <c r="K358" s="7" t="str">
        <f>HYPERLINK("http://slimages.macys.com/is/image/MCY/15721492 ")</f>
        <v xml:space="preserve">http://slimages.macys.com/is/image/MCY/15721492 </v>
      </c>
    </row>
    <row r="359" spans="1:11" ht="20.100000000000001" customHeight="1" x14ac:dyDescent="0.25">
      <c r="A359" s="12" t="s">
        <v>1362</v>
      </c>
      <c r="B359" s="13">
        <v>13571386</v>
      </c>
      <c r="C359" s="8">
        <v>841700207340</v>
      </c>
      <c r="D359" s="6" t="s">
        <v>498</v>
      </c>
      <c r="E359" s="18">
        <v>1</v>
      </c>
      <c r="F359" s="14">
        <v>77.989999999999995</v>
      </c>
      <c r="G359" s="14">
        <v>77.989999999999995</v>
      </c>
      <c r="H359" s="7" t="s">
        <v>1025</v>
      </c>
      <c r="I359" s="7" t="s">
        <v>1017</v>
      </c>
      <c r="J359" s="7" t="s">
        <v>499</v>
      </c>
      <c r="K359" s="7" t="str">
        <f>HYPERLINK("http://slimages.macys.com/is/image/MCY/14744545 ")</f>
        <v xml:space="preserve">http://slimages.macys.com/is/image/MCY/14744545 </v>
      </c>
    </row>
    <row r="360" spans="1:11" ht="20.100000000000001" customHeight="1" x14ac:dyDescent="0.25">
      <c r="A360" s="12" t="s">
        <v>1362</v>
      </c>
      <c r="B360" s="13">
        <v>13571386</v>
      </c>
      <c r="C360" s="8">
        <v>841917100960</v>
      </c>
      <c r="D360" s="6" t="s">
        <v>500</v>
      </c>
      <c r="E360" s="18">
        <v>1</v>
      </c>
      <c r="F360" s="14">
        <v>59.99</v>
      </c>
      <c r="G360" s="14">
        <v>59.99</v>
      </c>
      <c r="H360" s="7" t="s">
        <v>1051</v>
      </c>
      <c r="I360" s="7" t="s">
        <v>939</v>
      </c>
      <c r="J360" s="7" t="s">
        <v>501</v>
      </c>
      <c r="K360" s="7" t="str">
        <f>HYPERLINK("http://slimages.macys.com/is/image/MCY/16265176 ")</f>
        <v xml:space="preserve">http://slimages.macys.com/is/image/MCY/16265176 </v>
      </c>
    </row>
    <row r="361" spans="1:11" ht="20.100000000000001" customHeight="1" x14ac:dyDescent="0.25">
      <c r="A361" s="12" t="s">
        <v>1362</v>
      </c>
      <c r="B361" s="13">
        <v>13571386</v>
      </c>
      <c r="C361" s="8">
        <v>842491129750</v>
      </c>
      <c r="D361" s="6" t="s">
        <v>502</v>
      </c>
      <c r="E361" s="18">
        <v>1</v>
      </c>
      <c r="F361" s="14">
        <v>40.99</v>
      </c>
      <c r="G361" s="14">
        <v>40.99</v>
      </c>
      <c r="H361" s="7" t="s">
        <v>941</v>
      </c>
      <c r="I361" s="7" t="s">
        <v>939</v>
      </c>
      <c r="J361" s="7" t="s">
        <v>1137</v>
      </c>
      <c r="K361" s="7" t="str">
        <f>HYPERLINK("http://slimages.macys.com/is/image/MCY/12742749 ")</f>
        <v xml:space="preserve">http://slimages.macys.com/is/image/MCY/12742749 </v>
      </c>
    </row>
    <row r="362" spans="1:11" ht="20.100000000000001" customHeight="1" x14ac:dyDescent="0.25">
      <c r="A362" s="12" t="s">
        <v>1362</v>
      </c>
      <c r="B362" s="13">
        <v>13571386</v>
      </c>
      <c r="C362" s="8">
        <v>842491129767</v>
      </c>
      <c r="D362" s="6" t="s">
        <v>503</v>
      </c>
      <c r="E362" s="18">
        <v>1</v>
      </c>
      <c r="F362" s="14">
        <v>42.99</v>
      </c>
      <c r="G362" s="14">
        <v>42.99</v>
      </c>
      <c r="H362" s="7" t="s">
        <v>941</v>
      </c>
      <c r="I362" s="7" t="s">
        <v>939</v>
      </c>
      <c r="J362" s="7" t="s">
        <v>1137</v>
      </c>
      <c r="K362" s="7" t="str">
        <f>HYPERLINK("http://slimages.macys.com/is/image/MCY/12742754 ")</f>
        <v xml:space="preserve">http://slimages.macys.com/is/image/MCY/12742754 </v>
      </c>
    </row>
    <row r="363" spans="1:11" ht="20.100000000000001" customHeight="1" x14ac:dyDescent="0.25">
      <c r="A363" s="12" t="s">
        <v>1362</v>
      </c>
      <c r="B363" s="13">
        <v>13571386</v>
      </c>
      <c r="C363" s="8">
        <v>842491159030</v>
      </c>
      <c r="D363" s="6" t="s">
        <v>504</v>
      </c>
      <c r="E363" s="18">
        <v>1</v>
      </c>
      <c r="F363" s="14">
        <v>66.989999999999995</v>
      </c>
      <c r="G363" s="14">
        <v>66.989999999999995</v>
      </c>
      <c r="H363" s="7" t="s">
        <v>1025</v>
      </c>
      <c r="I363" s="7" t="s">
        <v>1017</v>
      </c>
      <c r="J363" s="7" t="s">
        <v>1137</v>
      </c>
      <c r="K363" s="7" t="str">
        <f>HYPERLINK("http://slimages.macys.com/is/image/MCY/14358895 ")</f>
        <v xml:space="preserve">http://slimages.macys.com/is/image/MCY/14358895 </v>
      </c>
    </row>
    <row r="364" spans="1:11" ht="20.100000000000001" customHeight="1" x14ac:dyDescent="0.25">
      <c r="A364" s="12" t="s">
        <v>1362</v>
      </c>
      <c r="B364" s="13">
        <v>13571386</v>
      </c>
      <c r="C364" s="8">
        <v>843145112203</v>
      </c>
      <c r="D364" s="6" t="s">
        <v>505</v>
      </c>
      <c r="E364" s="18">
        <v>1</v>
      </c>
      <c r="F364" s="14">
        <v>135.99</v>
      </c>
      <c r="G364" s="14">
        <v>135.99</v>
      </c>
      <c r="H364" s="7" t="s">
        <v>1026</v>
      </c>
      <c r="I364" s="7" t="s">
        <v>945</v>
      </c>
      <c r="J364" s="7" t="s">
        <v>946</v>
      </c>
      <c r="K364" s="7" t="str">
        <f>HYPERLINK("http://slimages.macys.com/is/image/MCY/10653181 ")</f>
        <v xml:space="preserve">http://slimages.macys.com/is/image/MCY/10653181 </v>
      </c>
    </row>
    <row r="365" spans="1:11" ht="20.100000000000001" customHeight="1" x14ac:dyDescent="0.25">
      <c r="A365" s="12" t="s">
        <v>1362</v>
      </c>
      <c r="B365" s="13">
        <v>13571386</v>
      </c>
      <c r="C365" s="8">
        <v>843669120449</v>
      </c>
      <c r="D365" s="6" t="s">
        <v>506</v>
      </c>
      <c r="E365" s="18">
        <v>1</v>
      </c>
      <c r="F365" s="14">
        <v>25.99</v>
      </c>
      <c r="G365" s="14">
        <v>25.99</v>
      </c>
      <c r="H365" s="7" t="s">
        <v>984</v>
      </c>
      <c r="I365" s="7" t="s">
        <v>958</v>
      </c>
      <c r="J365" s="7" t="s">
        <v>1103</v>
      </c>
      <c r="K365" s="7" t="str">
        <f>HYPERLINK("http://slimages.macys.com/is/image/MCY/13067462 ")</f>
        <v xml:space="preserve">http://slimages.macys.com/is/image/MCY/13067462 </v>
      </c>
    </row>
    <row r="366" spans="1:11" ht="20.100000000000001" customHeight="1" x14ac:dyDescent="0.25">
      <c r="A366" s="12" t="s">
        <v>1362</v>
      </c>
      <c r="B366" s="13">
        <v>13571386</v>
      </c>
      <c r="C366" s="8">
        <v>844353653540</v>
      </c>
      <c r="D366" s="6" t="s">
        <v>507</v>
      </c>
      <c r="E366" s="18">
        <v>1</v>
      </c>
      <c r="F366" s="14">
        <v>48.99</v>
      </c>
      <c r="G366" s="14">
        <v>48.99</v>
      </c>
      <c r="H366" s="7" t="s">
        <v>950</v>
      </c>
      <c r="I366" s="7" t="s">
        <v>947</v>
      </c>
      <c r="J366" s="7" t="s">
        <v>1071</v>
      </c>
      <c r="K366" s="7" t="str">
        <f>HYPERLINK("http://slimages.macys.com/is/image/MCY/10808577 ")</f>
        <v xml:space="preserve">http://slimages.macys.com/is/image/MCY/10808577 </v>
      </c>
    </row>
    <row r="367" spans="1:11" ht="20.100000000000001" customHeight="1" x14ac:dyDescent="0.25">
      <c r="A367" s="12" t="s">
        <v>1362</v>
      </c>
      <c r="B367" s="13">
        <v>13571386</v>
      </c>
      <c r="C367" s="8">
        <v>844353663174</v>
      </c>
      <c r="D367" s="6" t="s">
        <v>508</v>
      </c>
      <c r="E367" s="18">
        <v>2</v>
      </c>
      <c r="F367" s="14">
        <v>57.99</v>
      </c>
      <c r="G367" s="14">
        <v>115.98</v>
      </c>
      <c r="H367" s="7" t="s">
        <v>944</v>
      </c>
      <c r="I367" s="7" t="s">
        <v>947</v>
      </c>
      <c r="J367" s="7" t="s">
        <v>1071</v>
      </c>
      <c r="K367" s="7" t="str">
        <f>HYPERLINK("http://slimages.macys.com/is/image/MCY/10811553 ")</f>
        <v xml:space="preserve">http://slimages.macys.com/is/image/MCY/10811553 </v>
      </c>
    </row>
    <row r="368" spans="1:11" ht="20.100000000000001" customHeight="1" x14ac:dyDescent="0.25">
      <c r="A368" s="12" t="s">
        <v>1362</v>
      </c>
      <c r="B368" s="13">
        <v>13571386</v>
      </c>
      <c r="C368" s="8">
        <v>844353936179</v>
      </c>
      <c r="D368" s="6" t="s">
        <v>1394</v>
      </c>
      <c r="E368" s="18">
        <v>9</v>
      </c>
      <c r="F368" s="14">
        <v>48.99</v>
      </c>
      <c r="G368" s="14">
        <v>440.91</v>
      </c>
      <c r="H368" s="7" t="s">
        <v>976</v>
      </c>
      <c r="I368" s="7" t="s">
        <v>947</v>
      </c>
      <c r="J368" s="7" t="s">
        <v>1071</v>
      </c>
      <c r="K368" s="7" t="str">
        <f>HYPERLINK("http://slimages.macys.com/is/image/MCY/10906156 ")</f>
        <v xml:space="preserve">http://slimages.macys.com/is/image/MCY/10906156 </v>
      </c>
    </row>
    <row r="369" spans="1:11" ht="20.100000000000001" customHeight="1" x14ac:dyDescent="0.25">
      <c r="A369" s="12" t="s">
        <v>1362</v>
      </c>
      <c r="B369" s="13">
        <v>13571386</v>
      </c>
      <c r="C369" s="8">
        <v>844353983005</v>
      </c>
      <c r="D369" s="6" t="s">
        <v>509</v>
      </c>
      <c r="E369" s="18">
        <v>1</v>
      </c>
      <c r="F369" s="14">
        <v>58.99</v>
      </c>
      <c r="G369" s="14">
        <v>58.99</v>
      </c>
      <c r="H369" s="7" t="s">
        <v>976</v>
      </c>
      <c r="I369" s="7" t="s">
        <v>947</v>
      </c>
      <c r="J369" s="7" t="s">
        <v>1071</v>
      </c>
      <c r="K369" s="7" t="str">
        <f>HYPERLINK("http://slimages.macys.com/is/image/MCY/10906919 ")</f>
        <v xml:space="preserve">http://slimages.macys.com/is/image/MCY/10906919 </v>
      </c>
    </row>
    <row r="370" spans="1:11" ht="20.100000000000001" customHeight="1" x14ac:dyDescent="0.25">
      <c r="A370" s="12" t="s">
        <v>1362</v>
      </c>
      <c r="B370" s="13">
        <v>13571386</v>
      </c>
      <c r="C370" s="8">
        <v>846339047602</v>
      </c>
      <c r="D370" s="6" t="s">
        <v>510</v>
      </c>
      <c r="E370" s="18">
        <v>2</v>
      </c>
      <c r="F370" s="14">
        <v>129.99</v>
      </c>
      <c r="G370" s="14">
        <v>259.98</v>
      </c>
      <c r="H370" s="7" t="s">
        <v>1036</v>
      </c>
      <c r="I370" s="7" t="s">
        <v>966</v>
      </c>
      <c r="J370" s="7" t="s">
        <v>967</v>
      </c>
      <c r="K370" s="7" t="str">
        <f>HYPERLINK("http://slimages.macys.com/is/image/MCY/3391532 ")</f>
        <v xml:space="preserve">http://slimages.macys.com/is/image/MCY/3391532 </v>
      </c>
    </row>
    <row r="371" spans="1:11" ht="20.100000000000001" customHeight="1" x14ac:dyDescent="0.25">
      <c r="A371" s="12" t="s">
        <v>1362</v>
      </c>
      <c r="B371" s="13">
        <v>13571386</v>
      </c>
      <c r="C371" s="8">
        <v>846339072086</v>
      </c>
      <c r="D371" s="6" t="s">
        <v>511</v>
      </c>
      <c r="E371" s="18">
        <v>2</v>
      </c>
      <c r="F371" s="14">
        <v>59.99</v>
      </c>
      <c r="G371" s="14">
        <v>119.98</v>
      </c>
      <c r="H371" s="7" t="s">
        <v>941</v>
      </c>
      <c r="I371" s="7" t="s">
        <v>966</v>
      </c>
      <c r="J371" s="7" t="s">
        <v>967</v>
      </c>
      <c r="K371" s="7" t="str">
        <f>HYPERLINK("http://slimages.macys.com/is/image/MCY/8418593 ")</f>
        <v xml:space="preserve">http://slimages.macys.com/is/image/MCY/8418593 </v>
      </c>
    </row>
    <row r="372" spans="1:11" ht="20.100000000000001" customHeight="1" x14ac:dyDescent="0.25">
      <c r="A372" s="12" t="s">
        <v>1362</v>
      </c>
      <c r="B372" s="13">
        <v>13571386</v>
      </c>
      <c r="C372" s="8">
        <v>846339073199</v>
      </c>
      <c r="D372" s="6" t="s">
        <v>512</v>
      </c>
      <c r="E372" s="18">
        <v>1</v>
      </c>
      <c r="F372" s="14">
        <v>164.99</v>
      </c>
      <c r="G372" s="14">
        <v>164.99</v>
      </c>
      <c r="H372" s="7" t="s">
        <v>987</v>
      </c>
      <c r="I372" s="7" t="s">
        <v>966</v>
      </c>
      <c r="J372" s="7" t="s">
        <v>1063</v>
      </c>
      <c r="K372" s="7" t="str">
        <f>HYPERLINK("http://slimages.macys.com/is/image/MCY/9936557 ")</f>
        <v xml:space="preserve">http://slimages.macys.com/is/image/MCY/9936557 </v>
      </c>
    </row>
    <row r="373" spans="1:11" ht="20.100000000000001" customHeight="1" x14ac:dyDescent="0.25">
      <c r="A373" s="12" t="s">
        <v>1362</v>
      </c>
      <c r="B373" s="13">
        <v>13571386</v>
      </c>
      <c r="C373" s="8">
        <v>846339075346</v>
      </c>
      <c r="D373" s="6" t="s">
        <v>513</v>
      </c>
      <c r="E373" s="18">
        <v>1</v>
      </c>
      <c r="F373" s="14">
        <v>149.99</v>
      </c>
      <c r="G373" s="14">
        <v>149.99</v>
      </c>
      <c r="H373" s="7" t="s">
        <v>941</v>
      </c>
      <c r="I373" s="7" t="s">
        <v>966</v>
      </c>
      <c r="J373" s="7" t="s">
        <v>967</v>
      </c>
      <c r="K373" s="7" t="str">
        <f>HYPERLINK("http://slimages.macys.com/is/image/MCY/9312571 ")</f>
        <v xml:space="preserve">http://slimages.macys.com/is/image/MCY/9312571 </v>
      </c>
    </row>
    <row r="374" spans="1:11" ht="20.100000000000001" customHeight="1" x14ac:dyDescent="0.25">
      <c r="A374" s="12" t="s">
        <v>1362</v>
      </c>
      <c r="B374" s="13">
        <v>13571386</v>
      </c>
      <c r="C374" s="8">
        <v>846339088285</v>
      </c>
      <c r="D374" s="6" t="s">
        <v>514</v>
      </c>
      <c r="E374" s="18">
        <v>5</v>
      </c>
      <c r="F374" s="14">
        <v>169.99</v>
      </c>
      <c r="G374" s="14">
        <v>849.95</v>
      </c>
      <c r="H374" s="7" t="s">
        <v>1026</v>
      </c>
      <c r="I374" s="7" t="s">
        <v>966</v>
      </c>
      <c r="J374" s="7" t="s">
        <v>967</v>
      </c>
      <c r="K374" s="7" t="str">
        <f>HYPERLINK("http://slimages.macys.com/is/image/MCY/12936972 ")</f>
        <v xml:space="preserve">http://slimages.macys.com/is/image/MCY/12936972 </v>
      </c>
    </row>
    <row r="375" spans="1:11" ht="20.100000000000001" customHeight="1" x14ac:dyDescent="0.25">
      <c r="A375" s="12" t="s">
        <v>1362</v>
      </c>
      <c r="B375" s="13">
        <v>13571386</v>
      </c>
      <c r="C375" s="8">
        <v>846339088339</v>
      </c>
      <c r="D375" s="6" t="s">
        <v>515</v>
      </c>
      <c r="E375" s="18">
        <v>6</v>
      </c>
      <c r="F375" s="14">
        <v>69.989999999999995</v>
      </c>
      <c r="G375" s="14">
        <v>419.94</v>
      </c>
      <c r="H375" s="7" t="s">
        <v>1026</v>
      </c>
      <c r="I375" s="7" t="s">
        <v>966</v>
      </c>
      <c r="J375" s="7" t="s">
        <v>967</v>
      </c>
      <c r="K375" s="7" t="str">
        <f>HYPERLINK("http://slimages.macys.com/is/image/MCY/12936988 ")</f>
        <v xml:space="preserve">http://slimages.macys.com/is/image/MCY/12936988 </v>
      </c>
    </row>
    <row r="376" spans="1:11" ht="20.100000000000001" customHeight="1" x14ac:dyDescent="0.25">
      <c r="A376" s="12" t="s">
        <v>1362</v>
      </c>
      <c r="B376" s="13">
        <v>13571386</v>
      </c>
      <c r="C376" s="8">
        <v>846339094354</v>
      </c>
      <c r="D376" s="6" t="s">
        <v>516</v>
      </c>
      <c r="E376" s="18">
        <v>1</v>
      </c>
      <c r="F376" s="14">
        <v>279.99</v>
      </c>
      <c r="G376" s="14">
        <v>279.99</v>
      </c>
      <c r="H376" s="7" t="s">
        <v>968</v>
      </c>
      <c r="I376" s="7" t="s">
        <v>966</v>
      </c>
      <c r="J376" s="7" t="s">
        <v>1063</v>
      </c>
      <c r="K376" s="7" t="str">
        <f>HYPERLINK("http://slimages.macys.com/is/image/MCY/13314685 ")</f>
        <v xml:space="preserve">http://slimages.macys.com/is/image/MCY/13314685 </v>
      </c>
    </row>
    <row r="377" spans="1:11" ht="20.100000000000001" customHeight="1" x14ac:dyDescent="0.25">
      <c r="A377" s="12" t="s">
        <v>1362</v>
      </c>
      <c r="B377" s="13">
        <v>13571386</v>
      </c>
      <c r="C377" s="8">
        <v>849203042505</v>
      </c>
      <c r="D377" s="6" t="s">
        <v>517</v>
      </c>
      <c r="E377" s="18">
        <v>1</v>
      </c>
      <c r="F377" s="14">
        <v>64.989999999999995</v>
      </c>
      <c r="G377" s="14">
        <v>64.989999999999995</v>
      </c>
      <c r="H377" s="7" t="s">
        <v>1116</v>
      </c>
      <c r="I377" s="7" t="s">
        <v>947</v>
      </c>
      <c r="J377" s="7" t="s">
        <v>948</v>
      </c>
      <c r="K377" s="7" t="str">
        <f>HYPERLINK("http://slimages.macys.com/is/image/MCY/12140943 ")</f>
        <v xml:space="preserve">http://slimages.macys.com/is/image/MCY/12140943 </v>
      </c>
    </row>
    <row r="378" spans="1:11" ht="20.100000000000001" customHeight="1" x14ac:dyDescent="0.25">
      <c r="A378" s="12" t="s">
        <v>1362</v>
      </c>
      <c r="B378" s="13">
        <v>13571386</v>
      </c>
      <c r="C378" s="8">
        <v>855031123187</v>
      </c>
      <c r="D378" s="6" t="s">
        <v>518</v>
      </c>
      <c r="E378" s="18">
        <v>1</v>
      </c>
      <c r="F378" s="14">
        <v>57.99</v>
      </c>
      <c r="G378" s="14">
        <v>57.99</v>
      </c>
      <c r="H378" s="7" t="s">
        <v>950</v>
      </c>
      <c r="I378" s="7" t="s">
        <v>1017</v>
      </c>
      <c r="J378" s="7" t="s">
        <v>1437</v>
      </c>
      <c r="K378" s="7" t="str">
        <f>HYPERLINK("http://slimages.macys.com/is/image/MCY/16461276 ")</f>
        <v xml:space="preserve">http://slimages.macys.com/is/image/MCY/16461276 </v>
      </c>
    </row>
    <row r="379" spans="1:11" ht="20.100000000000001" customHeight="1" x14ac:dyDescent="0.25">
      <c r="A379" s="12" t="s">
        <v>1362</v>
      </c>
      <c r="B379" s="13">
        <v>13571386</v>
      </c>
      <c r="C379" s="8">
        <v>856381003075</v>
      </c>
      <c r="D379" s="6" t="s">
        <v>519</v>
      </c>
      <c r="E379" s="18">
        <v>2</v>
      </c>
      <c r="F379" s="14">
        <v>64.989999999999995</v>
      </c>
      <c r="G379" s="14">
        <v>129.97999999999999</v>
      </c>
      <c r="H379" s="7" t="s">
        <v>1026</v>
      </c>
      <c r="I379" s="7" t="s">
        <v>945</v>
      </c>
      <c r="J379" s="7" t="s">
        <v>1396</v>
      </c>
      <c r="K379" s="7" t="str">
        <f>HYPERLINK("http://slimages.macys.com/is/image/MCY/13047618 ")</f>
        <v xml:space="preserve">http://slimages.macys.com/is/image/MCY/13047618 </v>
      </c>
    </row>
    <row r="380" spans="1:11" ht="20.100000000000001" customHeight="1" x14ac:dyDescent="0.25">
      <c r="A380" s="12" t="s">
        <v>1362</v>
      </c>
      <c r="B380" s="13">
        <v>13571386</v>
      </c>
      <c r="C380" s="8">
        <v>856553002394</v>
      </c>
      <c r="D380" s="6" t="s">
        <v>520</v>
      </c>
      <c r="E380" s="18">
        <v>2</v>
      </c>
      <c r="F380" s="14">
        <v>200</v>
      </c>
      <c r="G380" s="14">
        <v>400</v>
      </c>
      <c r="H380" s="7" t="s">
        <v>987</v>
      </c>
      <c r="I380" s="7" t="s">
        <v>1128</v>
      </c>
      <c r="J380" s="7" t="s">
        <v>1175</v>
      </c>
      <c r="K380" s="7" t="str">
        <f>HYPERLINK("http://slimages.macys.com/is/image/MCY/9950141 ")</f>
        <v xml:space="preserve">http://slimages.macys.com/is/image/MCY/9950141 </v>
      </c>
    </row>
    <row r="381" spans="1:11" ht="20.100000000000001" customHeight="1" x14ac:dyDescent="0.25">
      <c r="A381" s="12" t="s">
        <v>1362</v>
      </c>
      <c r="B381" s="13">
        <v>13571386</v>
      </c>
      <c r="C381" s="8">
        <v>857762007095</v>
      </c>
      <c r="D381" s="6" t="s">
        <v>521</v>
      </c>
      <c r="E381" s="18">
        <v>1</v>
      </c>
      <c r="F381" s="14">
        <v>56.99</v>
      </c>
      <c r="G381" s="14">
        <v>56.99</v>
      </c>
      <c r="H381" s="7" t="s">
        <v>941</v>
      </c>
      <c r="I381" s="7" t="s">
        <v>958</v>
      </c>
      <c r="J381" s="7" t="s">
        <v>1234</v>
      </c>
      <c r="K381" s="7" t="str">
        <f>HYPERLINK("http://slimages.macys.com/is/image/MCY/9950581 ")</f>
        <v xml:space="preserve">http://slimages.macys.com/is/image/MCY/9950581 </v>
      </c>
    </row>
    <row r="382" spans="1:11" ht="20.100000000000001" customHeight="1" x14ac:dyDescent="0.25">
      <c r="A382" s="12" t="s">
        <v>1362</v>
      </c>
      <c r="B382" s="13">
        <v>13571386</v>
      </c>
      <c r="C382" s="8">
        <v>857762007897</v>
      </c>
      <c r="D382" s="6" t="s">
        <v>522</v>
      </c>
      <c r="E382" s="18">
        <v>1</v>
      </c>
      <c r="F382" s="14">
        <v>62</v>
      </c>
      <c r="G382" s="14">
        <v>62</v>
      </c>
      <c r="H382" s="7" t="s">
        <v>994</v>
      </c>
      <c r="I382" s="7" t="s">
        <v>1128</v>
      </c>
      <c r="J382" s="7" t="s">
        <v>1175</v>
      </c>
      <c r="K382" s="7" t="str">
        <f>HYPERLINK("http://images.bloomingdales.com/is/image/BLM/11069860 ")</f>
        <v xml:space="preserve">http://images.bloomingdales.com/is/image/BLM/11069860 </v>
      </c>
    </row>
    <row r="383" spans="1:11" ht="20.100000000000001" customHeight="1" x14ac:dyDescent="0.25">
      <c r="A383" s="12" t="s">
        <v>1362</v>
      </c>
      <c r="B383" s="13">
        <v>13571386</v>
      </c>
      <c r="C383" s="8">
        <v>858897006755</v>
      </c>
      <c r="D383" s="6" t="s">
        <v>523</v>
      </c>
      <c r="E383" s="18">
        <v>1</v>
      </c>
      <c r="F383" s="14">
        <v>79.989999999999995</v>
      </c>
      <c r="G383" s="14">
        <v>79.989999999999995</v>
      </c>
      <c r="H383" s="7" t="s">
        <v>1068</v>
      </c>
      <c r="I383" s="7" t="s">
        <v>939</v>
      </c>
      <c r="J383" s="7" t="s">
        <v>524</v>
      </c>
      <c r="K383" s="7" t="str">
        <f>HYPERLINK("http://slimages.macys.com/is/image/MCY/16068079 ")</f>
        <v xml:space="preserve">http://slimages.macys.com/is/image/MCY/16068079 </v>
      </c>
    </row>
    <row r="384" spans="1:11" ht="20.100000000000001" customHeight="1" x14ac:dyDescent="0.25">
      <c r="A384" s="12" t="s">
        <v>1362</v>
      </c>
      <c r="B384" s="13">
        <v>13571386</v>
      </c>
      <c r="C384" s="8">
        <v>859161018092</v>
      </c>
      <c r="D384" s="6" t="s">
        <v>525</v>
      </c>
      <c r="E384" s="18">
        <v>1</v>
      </c>
      <c r="F384" s="14">
        <v>64.989999999999995</v>
      </c>
      <c r="G384" s="14">
        <v>64.989999999999995</v>
      </c>
      <c r="H384" s="7" t="s">
        <v>941</v>
      </c>
      <c r="I384" s="7" t="s">
        <v>945</v>
      </c>
      <c r="J384" s="7" t="s">
        <v>1150</v>
      </c>
      <c r="K384" s="7" t="str">
        <f>HYPERLINK("http://slimages.macys.com/is/image/MCY/18559716 ")</f>
        <v xml:space="preserve">http://slimages.macys.com/is/image/MCY/18559716 </v>
      </c>
    </row>
    <row r="385" spans="1:11" ht="20.100000000000001" customHeight="1" x14ac:dyDescent="0.25">
      <c r="A385" s="12" t="s">
        <v>1362</v>
      </c>
      <c r="B385" s="13">
        <v>13571386</v>
      </c>
      <c r="C385" s="8">
        <v>879421010017</v>
      </c>
      <c r="D385" s="6" t="s">
        <v>526</v>
      </c>
      <c r="E385" s="18">
        <v>2</v>
      </c>
      <c r="F385" s="14">
        <v>119.99</v>
      </c>
      <c r="G385" s="14">
        <v>239.98</v>
      </c>
      <c r="H385" s="7" t="s">
        <v>987</v>
      </c>
      <c r="I385" s="7" t="s">
        <v>945</v>
      </c>
      <c r="J385" s="7" t="s">
        <v>1049</v>
      </c>
      <c r="K385" s="7" t="str">
        <f>HYPERLINK("http://slimages.macys.com/is/image/MCY/11504267 ")</f>
        <v xml:space="preserve">http://slimages.macys.com/is/image/MCY/11504267 </v>
      </c>
    </row>
    <row r="386" spans="1:11" ht="20.100000000000001" customHeight="1" x14ac:dyDescent="0.25">
      <c r="A386" s="12" t="s">
        <v>1362</v>
      </c>
      <c r="B386" s="13">
        <v>13571386</v>
      </c>
      <c r="C386" s="8">
        <v>883893344471</v>
      </c>
      <c r="D386" s="6" t="s">
        <v>527</v>
      </c>
      <c r="E386" s="18">
        <v>1</v>
      </c>
      <c r="F386" s="14">
        <v>149.99</v>
      </c>
      <c r="G386" s="14">
        <v>149.99</v>
      </c>
      <c r="H386" s="7" t="s">
        <v>981</v>
      </c>
      <c r="I386" s="7" t="s">
        <v>966</v>
      </c>
      <c r="J386" s="7" t="s">
        <v>1002</v>
      </c>
      <c r="K386" s="7" t="str">
        <f>HYPERLINK("http://slimages.macys.com/is/image/MCY/10276198 ")</f>
        <v xml:space="preserve">http://slimages.macys.com/is/image/MCY/10276198 </v>
      </c>
    </row>
    <row r="387" spans="1:11" ht="20.100000000000001" customHeight="1" x14ac:dyDescent="0.25">
      <c r="A387" s="12" t="s">
        <v>1362</v>
      </c>
      <c r="B387" s="13">
        <v>13571386</v>
      </c>
      <c r="C387" s="8">
        <v>883893344532</v>
      </c>
      <c r="D387" s="6" t="s">
        <v>528</v>
      </c>
      <c r="E387" s="18">
        <v>2</v>
      </c>
      <c r="F387" s="14">
        <v>149.99</v>
      </c>
      <c r="G387" s="14">
        <v>299.98</v>
      </c>
      <c r="H387" s="7" t="s">
        <v>1217</v>
      </c>
      <c r="I387" s="7" t="s">
        <v>966</v>
      </c>
      <c r="J387" s="7" t="s">
        <v>1002</v>
      </c>
      <c r="K387" s="7" t="str">
        <f>HYPERLINK("http://slimages.macys.com/is/image/MCY/10276201 ")</f>
        <v xml:space="preserve">http://slimages.macys.com/is/image/MCY/10276201 </v>
      </c>
    </row>
    <row r="388" spans="1:11" ht="20.100000000000001" customHeight="1" x14ac:dyDescent="0.25">
      <c r="A388" s="12" t="s">
        <v>1362</v>
      </c>
      <c r="B388" s="13">
        <v>13571386</v>
      </c>
      <c r="C388" s="8">
        <v>883893366084</v>
      </c>
      <c r="D388" s="6" t="s">
        <v>529</v>
      </c>
      <c r="E388" s="18">
        <v>1</v>
      </c>
      <c r="F388" s="14">
        <v>44.99</v>
      </c>
      <c r="G388" s="14">
        <v>44.99</v>
      </c>
      <c r="H388" s="7" t="s">
        <v>941</v>
      </c>
      <c r="I388" s="7" t="s">
        <v>1003</v>
      </c>
      <c r="J388" s="7" t="s">
        <v>1053</v>
      </c>
      <c r="K388" s="7" t="str">
        <f>HYPERLINK("http://slimages.macys.com/is/image/MCY/14635217 ")</f>
        <v xml:space="preserve">http://slimages.macys.com/is/image/MCY/14635217 </v>
      </c>
    </row>
    <row r="389" spans="1:11" ht="20.100000000000001" customHeight="1" x14ac:dyDescent="0.25">
      <c r="A389" s="12" t="s">
        <v>1362</v>
      </c>
      <c r="B389" s="13">
        <v>13571386</v>
      </c>
      <c r="C389" s="8">
        <v>883893382022</v>
      </c>
      <c r="D389" s="6" t="s">
        <v>530</v>
      </c>
      <c r="E389" s="18">
        <v>1</v>
      </c>
      <c r="F389" s="14">
        <v>149.99</v>
      </c>
      <c r="G389" s="14">
        <v>149.99</v>
      </c>
      <c r="H389" s="7" t="s">
        <v>976</v>
      </c>
      <c r="I389" s="7" t="s">
        <v>966</v>
      </c>
      <c r="J389" s="7" t="s">
        <v>1002</v>
      </c>
      <c r="K389" s="7" t="str">
        <f>HYPERLINK("http://slimages.macys.com/is/image/MCY/10276370 ")</f>
        <v xml:space="preserve">http://slimages.macys.com/is/image/MCY/10276370 </v>
      </c>
    </row>
    <row r="390" spans="1:11" ht="20.100000000000001" customHeight="1" x14ac:dyDescent="0.25">
      <c r="A390" s="12" t="s">
        <v>1362</v>
      </c>
      <c r="B390" s="13">
        <v>13571386</v>
      </c>
      <c r="C390" s="8">
        <v>883893433236</v>
      </c>
      <c r="D390" s="6" t="s">
        <v>531</v>
      </c>
      <c r="E390" s="18">
        <v>1</v>
      </c>
      <c r="F390" s="14">
        <v>54.99</v>
      </c>
      <c r="G390" s="14">
        <v>54.99</v>
      </c>
      <c r="H390" s="7" t="s">
        <v>941</v>
      </c>
      <c r="I390" s="7" t="s">
        <v>1003</v>
      </c>
      <c r="J390" s="7" t="s">
        <v>1053</v>
      </c>
      <c r="K390" s="7" t="str">
        <f>HYPERLINK("http://slimages.macys.com/is/image/MCY/8289315 ")</f>
        <v xml:space="preserve">http://slimages.macys.com/is/image/MCY/8289315 </v>
      </c>
    </row>
    <row r="391" spans="1:11" ht="20.100000000000001" customHeight="1" x14ac:dyDescent="0.25">
      <c r="A391" s="12" t="s">
        <v>1362</v>
      </c>
      <c r="B391" s="13">
        <v>13571386</v>
      </c>
      <c r="C391" s="8">
        <v>883893535930</v>
      </c>
      <c r="D391" s="6" t="s">
        <v>532</v>
      </c>
      <c r="E391" s="18">
        <v>1</v>
      </c>
      <c r="F391" s="14">
        <v>74.989999999999995</v>
      </c>
      <c r="G391" s="14">
        <v>74.989999999999995</v>
      </c>
      <c r="H391" s="7" t="s">
        <v>1013</v>
      </c>
      <c r="I391" s="7" t="s">
        <v>1003</v>
      </c>
      <c r="J391" s="7" t="s">
        <v>1053</v>
      </c>
      <c r="K391" s="7" t="str">
        <f>HYPERLINK("http://slimages.macys.com/is/image/MCY/8289315 ")</f>
        <v xml:space="preserve">http://slimages.macys.com/is/image/MCY/8289315 </v>
      </c>
    </row>
    <row r="392" spans="1:11" ht="20.100000000000001" customHeight="1" x14ac:dyDescent="0.25">
      <c r="A392" s="12" t="s">
        <v>1362</v>
      </c>
      <c r="B392" s="13">
        <v>13571386</v>
      </c>
      <c r="C392" s="8">
        <v>883893585225</v>
      </c>
      <c r="D392" s="6" t="s">
        <v>533</v>
      </c>
      <c r="E392" s="18">
        <v>1</v>
      </c>
      <c r="F392" s="14">
        <v>229.99</v>
      </c>
      <c r="G392" s="14">
        <v>229.99</v>
      </c>
      <c r="H392" s="7" t="s">
        <v>1001</v>
      </c>
      <c r="I392" s="7" t="s">
        <v>966</v>
      </c>
      <c r="J392" s="7" t="s">
        <v>1002</v>
      </c>
      <c r="K392" s="7" t="str">
        <f>HYPERLINK("http://slimages.macys.com/is/image/MCY/14376703 ")</f>
        <v xml:space="preserve">http://slimages.macys.com/is/image/MCY/14376703 </v>
      </c>
    </row>
    <row r="393" spans="1:11" ht="20.100000000000001" customHeight="1" x14ac:dyDescent="0.25">
      <c r="A393" s="12" t="s">
        <v>1362</v>
      </c>
      <c r="B393" s="13">
        <v>13571386</v>
      </c>
      <c r="C393" s="8">
        <v>883893590410</v>
      </c>
      <c r="D393" s="6" t="s">
        <v>534</v>
      </c>
      <c r="E393" s="18">
        <v>3</v>
      </c>
      <c r="F393" s="14">
        <v>34.99</v>
      </c>
      <c r="G393" s="14">
        <v>104.97</v>
      </c>
      <c r="H393" s="7" t="s">
        <v>941</v>
      </c>
      <c r="I393" s="7" t="s">
        <v>999</v>
      </c>
      <c r="J393" s="7" t="s">
        <v>1358</v>
      </c>
      <c r="K393" s="7" t="str">
        <f>HYPERLINK("http://slimages.macys.com/is/image/MCY/12949251 ")</f>
        <v xml:space="preserve">http://slimages.macys.com/is/image/MCY/12949251 </v>
      </c>
    </row>
    <row r="394" spans="1:11" ht="20.100000000000001" customHeight="1" x14ac:dyDescent="0.25">
      <c r="A394" s="12" t="s">
        <v>1362</v>
      </c>
      <c r="B394" s="13">
        <v>13571386</v>
      </c>
      <c r="C394" s="8">
        <v>883893611719</v>
      </c>
      <c r="D394" s="6" t="s">
        <v>535</v>
      </c>
      <c r="E394" s="18">
        <v>1</v>
      </c>
      <c r="F394" s="14">
        <v>49.99</v>
      </c>
      <c r="G394" s="14">
        <v>49.99</v>
      </c>
      <c r="H394" s="7" t="s">
        <v>987</v>
      </c>
      <c r="I394" s="7" t="s">
        <v>1003</v>
      </c>
      <c r="J394" s="7" t="s">
        <v>1106</v>
      </c>
      <c r="K394" s="7" t="str">
        <f>HYPERLINK("http://slimages.macys.com/is/image/MCY/13830767 ")</f>
        <v xml:space="preserve">http://slimages.macys.com/is/image/MCY/13830767 </v>
      </c>
    </row>
    <row r="395" spans="1:11" ht="20.100000000000001" customHeight="1" x14ac:dyDescent="0.25">
      <c r="A395" s="12" t="s">
        <v>1362</v>
      </c>
      <c r="B395" s="13">
        <v>13571386</v>
      </c>
      <c r="C395" s="8">
        <v>883893614642</v>
      </c>
      <c r="D395" s="6" t="s">
        <v>536</v>
      </c>
      <c r="E395" s="18">
        <v>1</v>
      </c>
      <c r="F395" s="14">
        <v>39.99</v>
      </c>
      <c r="G395" s="14">
        <v>39.99</v>
      </c>
      <c r="H395" s="7" t="s">
        <v>1001</v>
      </c>
      <c r="I395" s="7" t="s">
        <v>1033</v>
      </c>
      <c r="J395" s="7" t="s">
        <v>1357</v>
      </c>
      <c r="K395" s="7" t="str">
        <f>HYPERLINK("http://slimages.macys.com/is/image/MCY/13356149 ")</f>
        <v xml:space="preserve">http://slimages.macys.com/is/image/MCY/13356149 </v>
      </c>
    </row>
    <row r="396" spans="1:11" ht="20.100000000000001" customHeight="1" x14ac:dyDescent="0.25">
      <c r="A396" s="12" t="s">
        <v>1362</v>
      </c>
      <c r="B396" s="13">
        <v>13571386</v>
      </c>
      <c r="C396" s="8">
        <v>883893644526</v>
      </c>
      <c r="D396" s="6" t="s">
        <v>537</v>
      </c>
      <c r="E396" s="18">
        <v>1</v>
      </c>
      <c r="F396" s="14">
        <v>129.99</v>
      </c>
      <c r="G396" s="14">
        <v>129.99</v>
      </c>
      <c r="H396" s="7" t="s">
        <v>1001</v>
      </c>
      <c r="I396" s="7" t="s">
        <v>1003</v>
      </c>
      <c r="J396" s="7" t="s">
        <v>1053</v>
      </c>
      <c r="K396" s="7" t="str">
        <f>HYPERLINK("http://slimages.macys.com/is/image/MCY/16177035 ")</f>
        <v xml:space="preserve">http://slimages.macys.com/is/image/MCY/16177035 </v>
      </c>
    </row>
    <row r="397" spans="1:11" ht="20.100000000000001" customHeight="1" x14ac:dyDescent="0.25">
      <c r="A397" s="12" t="s">
        <v>1362</v>
      </c>
      <c r="B397" s="13">
        <v>13571386</v>
      </c>
      <c r="C397" s="8">
        <v>883893656567</v>
      </c>
      <c r="D397" s="6" t="s">
        <v>538</v>
      </c>
      <c r="E397" s="18">
        <v>2</v>
      </c>
      <c r="F397" s="14">
        <v>39.99</v>
      </c>
      <c r="G397" s="14">
        <v>79.98</v>
      </c>
      <c r="H397" s="7" t="s">
        <v>997</v>
      </c>
      <c r="I397" s="7" t="s">
        <v>966</v>
      </c>
      <c r="J397" s="7" t="s">
        <v>1164</v>
      </c>
      <c r="K397" s="7" t="str">
        <f>HYPERLINK("http://slimages.macys.com/is/image/MCY/16592343 ")</f>
        <v xml:space="preserve">http://slimages.macys.com/is/image/MCY/16592343 </v>
      </c>
    </row>
    <row r="398" spans="1:11" ht="20.100000000000001" customHeight="1" x14ac:dyDescent="0.25">
      <c r="A398" s="12" t="s">
        <v>1362</v>
      </c>
      <c r="B398" s="13">
        <v>13571386</v>
      </c>
      <c r="C398" s="8">
        <v>883893657410</v>
      </c>
      <c r="D398" s="6" t="s">
        <v>539</v>
      </c>
      <c r="E398" s="18">
        <v>1</v>
      </c>
      <c r="F398" s="14">
        <v>129.99</v>
      </c>
      <c r="G398" s="14">
        <v>129.99</v>
      </c>
      <c r="H398" s="7" t="s">
        <v>987</v>
      </c>
      <c r="I398" s="7" t="s">
        <v>999</v>
      </c>
      <c r="J398" s="7" t="s">
        <v>1110</v>
      </c>
      <c r="K398" s="7" t="str">
        <f>HYPERLINK("http://slimages.macys.com/is/image/MCY/16957006 ")</f>
        <v xml:space="preserve">http://slimages.macys.com/is/image/MCY/16957006 </v>
      </c>
    </row>
    <row r="399" spans="1:11" ht="20.100000000000001" customHeight="1" x14ac:dyDescent="0.25">
      <c r="A399" s="12" t="s">
        <v>1362</v>
      </c>
      <c r="B399" s="13">
        <v>13571386</v>
      </c>
      <c r="C399" s="8">
        <v>883893689343</v>
      </c>
      <c r="D399" s="6" t="s">
        <v>540</v>
      </c>
      <c r="E399" s="18">
        <v>1</v>
      </c>
      <c r="F399" s="14">
        <v>29.99</v>
      </c>
      <c r="G399" s="14">
        <v>29.99</v>
      </c>
      <c r="H399" s="7" t="s">
        <v>1052</v>
      </c>
      <c r="I399" s="7" t="s">
        <v>966</v>
      </c>
      <c r="J399" s="7" t="s">
        <v>1002</v>
      </c>
      <c r="K399" s="7" t="str">
        <f>HYPERLINK("http://slimages.macys.com/is/image/MCY/17601213 ")</f>
        <v xml:space="preserve">http://slimages.macys.com/is/image/MCY/17601213 </v>
      </c>
    </row>
    <row r="400" spans="1:11" ht="20.100000000000001" customHeight="1" x14ac:dyDescent="0.25">
      <c r="A400" s="12" t="s">
        <v>1362</v>
      </c>
      <c r="B400" s="13">
        <v>13571386</v>
      </c>
      <c r="C400" s="8">
        <v>883893690561</v>
      </c>
      <c r="D400" s="6" t="s">
        <v>541</v>
      </c>
      <c r="E400" s="18">
        <v>1</v>
      </c>
      <c r="F400" s="14">
        <v>79.989999999999995</v>
      </c>
      <c r="G400" s="14">
        <v>79.989999999999995</v>
      </c>
      <c r="H400" s="7" t="s">
        <v>944</v>
      </c>
      <c r="I400" s="7" t="s">
        <v>999</v>
      </c>
      <c r="J400" s="7" t="s">
        <v>1358</v>
      </c>
      <c r="K400" s="7" t="str">
        <f>HYPERLINK("http://slimages.macys.com/is/image/MCY/18076402 ")</f>
        <v xml:space="preserve">http://slimages.macys.com/is/image/MCY/18076402 </v>
      </c>
    </row>
    <row r="401" spans="1:11" ht="20.100000000000001" customHeight="1" x14ac:dyDescent="0.25">
      <c r="A401" s="12" t="s">
        <v>1362</v>
      </c>
      <c r="B401" s="13">
        <v>13571386</v>
      </c>
      <c r="C401" s="8">
        <v>883893690820</v>
      </c>
      <c r="D401" s="6" t="s">
        <v>542</v>
      </c>
      <c r="E401" s="18">
        <v>1</v>
      </c>
      <c r="F401" s="14">
        <v>149.99</v>
      </c>
      <c r="G401" s="14">
        <v>149.99</v>
      </c>
      <c r="H401" s="7" t="s">
        <v>981</v>
      </c>
      <c r="I401" s="7" t="s">
        <v>999</v>
      </c>
      <c r="J401" s="7" t="s">
        <v>1110</v>
      </c>
      <c r="K401" s="7" t="str">
        <f>HYPERLINK("http://slimages.macys.com/is/image/MCY/17787335 ")</f>
        <v xml:space="preserve">http://slimages.macys.com/is/image/MCY/17787335 </v>
      </c>
    </row>
    <row r="402" spans="1:11" ht="20.100000000000001" customHeight="1" x14ac:dyDescent="0.25">
      <c r="A402" s="12" t="s">
        <v>1362</v>
      </c>
      <c r="B402" s="13">
        <v>13571386</v>
      </c>
      <c r="C402" s="8">
        <v>885308414809</v>
      </c>
      <c r="D402" s="6" t="s">
        <v>543</v>
      </c>
      <c r="E402" s="18">
        <v>1</v>
      </c>
      <c r="F402" s="14">
        <v>83.99</v>
      </c>
      <c r="G402" s="14">
        <v>83.99</v>
      </c>
      <c r="H402" s="7" t="s">
        <v>941</v>
      </c>
      <c r="I402" s="7" t="s">
        <v>947</v>
      </c>
      <c r="J402" s="7" t="s">
        <v>1141</v>
      </c>
      <c r="K402" s="7" t="str">
        <f>HYPERLINK("http://slimages.macys.com/is/image/MCY/18369933 ")</f>
        <v xml:space="preserve">http://slimages.macys.com/is/image/MCY/18369933 </v>
      </c>
    </row>
    <row r="403" spans="1:11" ht="20.100000000000001" customHeight="1" x14ac:dyDescent="0.25">
      <c r="A403" s="12" t="s">
        <v>1362</v>
      </c>
      <c r="B403" s="13">
        <v>13571386</v>
      </c>
      <c r="C403" s="8">
        <v>887719142890</v>
      </c>
      <c r="D403" s="6" t="s">
        <v>1113</v>
      </c>
      <c r="E403" s="18">
        <v>1</v>
      </c>
      <c r="F403" s="14">
        <v>39.99</v>
      </c>
      <c r="G403" s="14">
        <v>39.99</v>
      </c>
      <c r="H403" s="7" t="s">
        <v>941</v>
      </c>
      <c r="I403" s="7" t="s">
        <v>939</v>
      </c>
      <c r="J403" s="7" t="s">
        <v>1114</v>
      </c>
      <c r="K403" s="7" t="str">
        <f>HYPERLINK("http://slimages.macys.com/is/image/MCY/18222657 ")</f>
        <v xml:space="preserve">http://slimages.macys.com/is/image/MCY/18222657 </v>
      </c>
    </row>
    <row r="404" spans="1:11" ht="20.100000000000001" customHeight="1" x14ac:dyDescent="0.25">
      <c r="A404" s="12" t="s">
        <v>1362</v>
      </c>
      <c r="B404" s="13">
        <v>13571386</v>
      </c>
      <c r="C404" s="8">
        <v>887924083469</v>
      </c>
      <c r="D404" s="6" t="s">
        <v>544</v>
      </c>
      <c r="E404" s="18">
        <v>1</v>
      </c>
      <c r="F404" s="14">
        <v>69.989999999999995</v>
      </c>
      <c r="G404" s="14">
        <v>69.989999999999995</v>
      </c>
      <c r="H404" s="7" t="s">
        <v>952</v>
      </c>
      <c r="I404" s="7" t="s">
        <v>939</v>
      </c>
      <c r="J404" s="7" t="s">
        <v>545</v>
      </c>
      <c r="K404" s="7" t="str">
        <f>HYPERLINK("http://slimages.macys.com/is/image/MCY/18779018 ")</f>
        <v xml:space="preserve">http://slimages.macys.com/is/image/MCY/18779018 </v>
      </c>
    </row>
    <row r="405" spans="1:11" ht="20.100000000000001" customHeight="1" x14ac:dyDescent="0.25">
      <c r="A405" s="12" t="s">
        <v>1362</v>
      </c>
      <c r="B405" s="13">
        <v>13571386</v>
      </c>
      <c r="C405" s="8">
        <v>4700010042446</v>
      </c>
      <c r="D405" s="6" t="s">
        <v>546</v>
      </c>
      <c r="E405" s="18">
        <v>1</v>
      </c>
      <c r="F405" s="14">
        <v>162.99</v>
      </c>
      <c r="G405" s="14">
        <v>162.99</v>
      </c>
      <c r="H405" s="7" t="s">
        <v>941</v>
      </c>
      <c r="I405" s="7" t="s">
        <v>942</v>
      </c>
      <c r="J405" s="7" t="s">
        <v>547</v>
      </c>
      <c r="K405" s="7" t="str">
        <f>HYPERLINK("http://slimages.macys.com/is/image/MCY/14320181 ")</f>
        <v xml:space="preserve">http://slimages.macys.com/is/image/MCY/14320181 </v>
      </c>
    </row>
    <row r="406" spans="1:11" ht="20.100000000000001" customHeight="1" x14ac:dyDescent="0.25">
      <c r="A406" s="12" t="s">
        <v>1362</v>
      </c>
      <c r="B406" s="13">
        <v>13571386</v>
      </c>
      <c r="C406" s="8">
        <v>6971255303342</v>
      </c>
      <c r="D406" s="6" t="s">
        <v>548</v>
      </c>
      <c r="E406" s="18">
        <v>1</v>
      </c>
      <c r="F406" s="14">
        <v>33.99</v>
      </c>
      <c r="G406" s="14">
        <v>33.99</v>
      </c>
      <c r="H406" s="7" t="s">
        <v>941</v>
      </c>
      <c r="I406" s="7" t="s">
        <v>947</v>
      </c>
      <c r="J406" s="7" t="s">
        <v>549</v>
      </c>
      <c r="K406" s="7" t="str">
        <f>HYPERLINK("http://slimages.macys.com/is/image/MCY/14550933 ")</f>
        <v xml:space="preserve">http://slimages.macys.com/is/image/MCY/14550933 </v>
      </c>
    </row>
    <row r="407" spans="1:11" ht="20.100000000000001" customHeight="1" x14ac:dyDescent="0.25">
      <c r="A407" s="12" t="s">
        <v>1362</v>
      </c>
      <c r="B407" s="13">
        <v>13571386</v>
      </c>
      <c r="C407" s="8">
        <v>29927586312</v>
      </c>
      <c r="D407" s="6" t="s">
        <v>550</v>
      </c>
      <c r="E407" s="18">
        <v>3</v>
      </c>
      <c r="F407" s="14">
        <v>19.989999999999998</v>
      </c>
      <c r="G407" s="14">
        <v>59.97</v>
      </c>
      <c r="H407" s="7" t="s">
        <v>987</v>
      </c>
      <c r="I407" s="7" t="s">
        <v>947</v>
      </c>
      <c r="J407" s="7" t="s">
        <v>982</v>
      </c>
      <c r="K407" s="7"/>
    </row>
    <row r="408" spans="1:11" ht="20.100000000000001" customHeight="1" x14ac:dyDescent="0.25">
      <c r="A408" s="12" t="s">
        <v>1362</v>
      </c>
      <c r="B408" s="13">
        <v>13571386</v>
      </c>
      <c r="C408" s="8">
        <v>29927588064</v>
      </c>
      <c r="D408" s="6" t="s">
        <v>551</v>
      </c>
      <c r="E408" s="18">
        <v>1</v>
      </c>
      <c r="F408" s="14">
        <v>19.989999999999998</v>
      </c>
      <c r="G408" s="14">
        <v>19.989999999999998</v>
      </c>
      <c r="H408" s="7" t="s">
        <v>1001</v>
      </c>
      <c r="I408" s="7" t="s">
        <v>947</v>
      </c>
      <c r="J408" s="7" t="s">
        <v>982</v>
      </c>
      <c r="K408" s="7"/>
    </row>
    <row r="409" spans="1:11" ht="20.100000000000001" customHeight="1" x14ac:dyDescent="0.25">
      <c r="A409" s="12" t="s">
        <v>1362</v>
      </c>
      <c r="B409" s="13">
        <v>13571386</v>
      </c>
      <c r="C409" s="8">
        <v>29927588040</v>
      </c>
      <c r="D409" s="6" t="s">
        <v>552</v>
      </c>
      <c r="E409" s="18">
        <v>1</v>
      </c>
      <c r="F409" s="14">
        <v>19.989999999999998</v>
      </c>
      <c r="G409" s="14">
        <v>19.989999999999998</v>
      </c>
      <c r="H409" s="7" t="s">
        <v>1302</v>
      </c>
      <c r="I409" s="7" t="s">
        <v>947</v>
      </c>
      <c r="J409" s="7" t="s">
        <v>982</v>
      </c>
      <c r="K409" s="7"/>
    </row>
    <row r="410" spans="1:11" ht="20.100000000000001" customHeight="1" x14ac:dyDescent="0.25">
      <c r="A410" s="12" t="s">
        <v>1362</v>
      </c>
      <c r="B410" s="13">
        <v>13571386</v>
      </c>
      <c r="C410" s="8">
        <v>81806614943</v>
      </c>
      <c r="D410" s="6" t="s">
        <v>553</v>
      </c>
      <c r="E410" s="18">
        <v>1</v>
      </c>
      <c r="F410" s="14">
        <v>64.989999999999995</v>
      </c>
      <c r="G410" s="14">
        <v>64.989999999999995</v>
      </c>
      <c r="H410" s="7" t="s">
        <v>941</v>
      </c>
      <c r="I410" s="7" t="s">
        <v>942</v>
      </c>
      <c r="J410" s="7" t="s">
        <v>1189</v>
      </c>
      <c r="K410" s="7"/>
    </row>
    <row r="411" spans="1:11" ht="20.100000000000001" customHeight="1" x14ac:dyDescent="0.25">
      <c r="A411" s="12" t="s">
        <v>1362</v>
      </c>
      <c r="B411" s="13">
        <v>13571386</v>
      </c>
      <c r="C411" s="8">
        <v>193842113066</v>
      </c>
      <c r="D411" s="6" t="s">
        <v>554</v>
      </c>
      <c r="E411" s="18">
        <v>1</v>
      </c>
      <c r="F411" s="14">
        <v>69.989999999999995</v>
      </c>
      <c r="G411" s="14">
        <v>69.989999999999995</v>
      </c>
      <c r="H411" s="7" t="s">
        <v>985</v>
      </c>
      <c r="I411" s="7" t="s">
        <v>966</v>
      </c>
      <c r="J411" s="7" t="s">
        <v>967</v>
      </c>
      <c r="K411" s="7"/>
    </row>
    <row r="412" spans="1:11" ht="20.100000000000001" customHeight="1" x14ac:dyDescent="0.25">
      <c r="A412" s="12" t="s">
        <v>1362</v>
      </c>
      <c r="B412" s="13">
        <v>13571386</v>
      </c>
      <c r="C412" s="8">
        <v>191790054196</v>
      </c>
      <c r="D412" s="6" t="s">
        <v>1397</v>
      </c>
      <c r="E412" s="18">
        <v>1</v>
      </c>
      <c r="F412" s="14">
        <v>49.99</v>
      </c>
      <c r="G412" s="14">
        <v>49.99</v>
      </c>
      <c r="H412" s="7" t="s">
        <v>941</v>
      </c>
      <c r="I412" s="7" t="s">
        <v>939</v>
      </c>
      <c r="J412" s="7" t="s">
        <v>986</v>
      </c>
      <c r="K412" s="7"/>
    </row>
    <row r="413" spans="1:11" ht="20.100000000000001" customHeight="1" x14ac:dyDescent="0.25">
      <c r="A413" s="12" t="s">
        <v>1362</v>
      </c>
      <c r="B413" s="13">
        <v>13571386</v>
      </c>
      <c r="C413" s="8">
        <v>859072609242</v>
      </c>
      <c r="D413" s="6" t="s">
        <v>555</v>
      </c>
      <c r="E413" s="18">
        <v>2</v>
      </c>
      <c r="F413" s="14">
        <v>86.99</v>
      </c>
      <c r="G413" s="14">
        <v>173.98</v>
      </c>
      <c r="H413" s="7" t="s">
        <v>1126</v>
      </c>
      <c r="I413" s="7" t="s">
        <v>947</v>
      </c>
      <c r="J413" s="7" t="s">
        <v>556</v>
      </c>
      <c r="K413" s="7"/>
    </row>
    <row r="414" spans="1:11" ht="20.100000000000001" customHeight="1" x14ac:dyDescent="0.25">
      <c r="A414" s="12" t="s">
        <v>1362</v>
      </c>
      <c r="B414" s="13">
        <v>13571386</v>
      </c>
      <c r="C414" s="8">
        <v>887822187139</v>
      </c>
      <c r="D414" s="6" t="s">
        <v>557</v>
      </c>
      <c r="E414" s="18">
        <v>2</v>
      </c>
      <c r="F414" s="14">
        <v>78.11</v>
      </c>
      <c r="G414" s="14">
        <v>156.22</v>
      </c>
      <c r="H414" s="7"/>
      <c r="I414" s="7" t="s">
        <v>558</v>
      </c>
      <c r="J414" s="7" t="s">
        <v>559</v>
      </c>
      <c r="K414" s="7"/>
    </row>
    <row r="415" spans="1:11" ht="20.100000000000001" customHeight="1" x14ac:dyDescent="0.25">
      <c r="A415" s="12" t="s">
        <v>1362</v>
      </c>
      <c r="B415" s="13">
        <v>13571386</v>
      </c>
      <c r="C415" s="8">
        <v>850011548608</v>
      </c>
      <c r="D415" s="6" t="s">
        <v>560</v>
      </c>
      <c r="E415" s="18">
        <v>1</v>
      </c>
      <c r="F415" s="14">
        <v>49.99</v>
      </c>
      <c r="G415" s="14">
        <v>49.99</v>
      </c>
      <c r="H415" s="7"/>
      <c r="I415" s="7" t="s">
        <v>945</v>
      </c>
      <c r="J415" s="7" t="s">
        <v>1245</v>
      </c>
      <c r="K415" s="7"/>
    </row>
    <row r="416" spans="1:11" ht="20.100000000000001" customHeight="1" x14ac:dyDescent="0.25">
      <c r="A416" s="12" t="s">
        <v>1362</v>
      </c>
      <c r="B416" s="13">
        <v>13571386</v>
      </c>
      <c r="C416" s="8">
        <v>850011548677</v>
      </c>
      <c r="D416" s="6" t="s">
        <v>561</v>
      </c>
      <c r="E416" s="18">
        <v>1</v>
      </c>
      <c r="F416" s="14">
        <v>29.99</v>
      </c>
      <c r="G416" s="14">
        <v>29.99</v>
      </c>
      <c r="H416" s="7"/>
      <c r="I416" s="7" t="s">
        <v>945</v>
      </c>
      <c r="J416" s="7" t="s">
        <v>1245</v>
      </c>
      <c r="K416" s="7"/>
    </row>
    <row r="417" spans="1:11" ht="20.100000000000001" customHeight="1" x14ac:dyDescent="0.25">
      <c r="A417" s="12" t="s">
        <v>1362</v>
      </c>
      <c r="B417" s="13">
        <v>13571386</v>
      </c>
      <c r="C417" s="8">
        <v>734737686786</v>
      </c>
      <c r="D417" s="6" t="s">
        <v>562</v>
      </c>
      <c r="E417" s="18">
        <v>1</v>
      </c>
      <c r="F417" s="14">
        <v>59.99</v>
      </c>
      <c r="G417" s="14">
        <v>59.99</v>
      </c>
      <c r="H417" s="7" t="s">
        <v>950</v>
      </c>
      <c r="I417" s="7" t="s">
        <v>945</v>
      </c>
      <c r="J417" s="7" t="s">
        <v>974</v>
      </c>
      <c r="K417" s="7"/>
    </row>
    <row r="418" spans="1:11" ht="20.100000000000001" customHeight="1" x14ac:dyDescent="0.25">
      <c r="A418" s="12" t="s">
        <v>1362</v>
      </c>
      <c r="B418" s="13">
        <v>13571386</v>
      </c>
      <c r="C418" s="8">
        <v>679610838558</v>
      </c>
      <c r="D418" s="6" t="s">
        <v>1401</v>
      </c>
      <c r="E418" s="18">
        <v>1</v>
      </c>
      <c r="F418" s="14">
        <v>59.99</v>
      </c>
      <c r="G418" s="14">
        <v>59.99</v>
      </c>
      <c r="H418" s="7" t="s">
        <v>991</v>
      </c>
      <c r="I418" s="7" t="s">
        <v>945</v>
      </c>
      <c r="J418" s="7" t="s">
        <v>1055</v>
      </c>
      <c r="K418" s="7"/>
    </row>
    <row r="419" spans="1:11" ht="20.100000000000001" customHeight="1" x14ac:dyDescent="0.25">
      <c r="A419" s="12" t="s">
        <v>1362</v>
      </c>
      <c r="B419" s="13">
        <v>13571386</v>
      </c>
      <c r="C419" s="8">
        <v>733003086275</v>
      </c>
      <c r="D419" s="6" t="s">
        <v>563</v>
      </c>
      <c r="E419" s="18">
        <v>1</v>
      </c>
      <c r="F419" s="14">
        <v>16.989999999999998</v>
      </c>
      <c r="G419" s="14">
        <v>16.989999999999998</v>
      </c>
      <c r="H419" s="7" t="s">
        <v>941</v>
      </c>
      <c r="I419" s="7" t="s">
        <v>971</v>
      </c>
      <c r="J419" s="7" t="s">
        <v>1125</v>
      </c>
      <c r="K419" s="7"/>
    </row>
    <row r="420" spans="1:11" ht="20.100000000000001" customHeight="1" x14ac:dyDescent="0.25">
      <c r="A420" s="12" t="s">
        <v>1362</v>
      </c>
      <c r="B420" s="13">
        <v>13571386</v>
      </c>
      <c r="C420" s="8">
        <v>400013532725</v>
      </c>
      <c r="D420" s="6" t="s">
        <v>993</v>
      </c>
      <c r="E420" s="18">
        <v>11</v>
      </c>
      <c r="F420" s="14">
        <v>40</v>
      </c>
      <c r="G420" s="14">
        <v>440</v>
      </c>
      <c r="H420" s="7" t="s">
        <v>994</v>
      </c>
      <c r="I420" s="7" t="s">
        <v>995</v>
      </c>
      <c r="J420" s="7" t="s">
        <v>996</v>
      </c>
      <c r="K420" s="7"/>
    </row>
    <row r="421" spans="1:11" ht="20.100000000000001" customHeight="1" x14ac:dyDescent="0.25">
      <c r="A421" s="12" t="s">
        <v>1362</v>
      </c>
      <c r="B421" s="13">
        <v>13571386</v>
      </c>
      <c r="C421" s="8">
        <v>400013532725</v>
      </c>
      <c r="D421" s="6" t="s">
        <v>993</v>
      </c>
      <c r="E421" s="18">
        <v>2</v>
      </c>
      <c r="F421" s="14">
        <v>40</v>
      </c>
      <c r="G421" s="14">
        <v>80</v>
      </c>
      <c r="H421" s="7" t="s">
        <v>994</v>
      </c>
      <c r="I421" s="7" t="s">
        <v>995</v>
      </c>
      <c r="J421" s="7" t="s">
        <v>996</v>
      </c>
      <c r="K421" s="7"/>
    </row>
    <row r="422" spans="1:11" ht="20.100000000000001" customHeight="1" x14ac:dyDescent="0.25">
      <c r="A422" s="12" t="s">
        <v>1362</v>
      </c>
      <c r="B422" s="13">
        <v>13571386</v>
      </c>
      <c r="C422" s="8">
        <v>400013532725</v>
      </c>
      <c r="D422" s="6" t="s">
        <v>993</v>
      </c>
      <c r="E422" s="18">
        <v>4</v>
      </c>
      <c r="F422" s="14">
        <v>40</v>
      </c>
      <c r="G422" s="14">
        <v>160</v>
      </c>
      <c r="H422" s="7" t="s">
        <v>994</v>
      </c>
      <c r="I422" s="7" t="s">
        <v>995</v>
      </c>
      <c r="J422" s="7" t="s">
        <v>996</v>
      </c>
      <c r="K422" s="7"/>
    </row>
    <row r="423" spans="1:11" ht="20.100000000000001" customHeight="1" x14ac:dyDescent="0.25">
      <c r="A423" s="12" t="s">
        <v>1362</v>
      </c>
      <c r="B423" s="13">
        <v>13571386</v>
      </c>
      <c r="C423" s="8">
        <v>400013532725</v>
      </c>
      <c r="D423" s="6" t="s">
        <v>993</v>
      </c>
      <c r="E423" s="18">
        <v>1</v>
      </c>
      <c r="F423" s="14">
        <v>40</v>
      </c>
      <c r="G423" s="14">
        <v>40</v>
      </c>
      <c r="H423" s="7" t="s">
        <v>994</v>
      </c>
      <c r="I423" s="7" t="s">
        <v>995</v>
      </c>
      <c r="J423" s="7" t="s">
        <v>996</v>
      </c>
      <c r="K423" s="7"/>
    </row>
    <row r="424" spans="1:11" ht="20.100000000000001" customHeight="1" x14ac:dyDescent="0.25">
      <c r="A424" s="12" t="s">
        <v>1362</v>
      </c>
      <c r="B424" s="13">
        <v>13571386</v>
      </c>
      <c r="C424" s="8">
        <v>400013532725</v>
      </c>
      <c r="D424" s="6" t="s">
        <v>993</v>
      </c>
      <c r="E424" s="18">
        <v>11</v>
      </c>
      <c r="F424" s="14">
        <v>40</v>
      </c>
      <c r="G424" s="14">
        <v>440</v>
      </c>
      <c r="H424" s="7" t="s">
        <v>994</v>
      </c>
      <c r="I424" s="7" t="s">
        <v>995</v>
      </c>
      <c r="J424" s="7" t="s">
        <v>996</v>
      </c>
      <c r="K424" s="7"/>
    </row>
    <row r="425" spans="1:11" ht="20.100000000000001" customHeight="1" x14ac:dyDescent="0.25">
      <c r="A425" s="12" t="s">
        <v>1362</v>
      </c>
      <c r="B425" s="13">
        <v>13571386</v>
      </c>
      <c r="C425" s="8">
        <v>400013532725</v>
      </c>
      <c r="D425" s="6" t="s">
        <v>993</v>
      </c>
      <c r="E425" s="18">
        <v>3</v>
      </c>
      <c r="F425" s="14">
        <v>40</v>
      </c>
      <c r="G425" s="14">
        <v>120</v>
      </c>
      <c r="H425" s="7" t="s">
        <v>994</v>
      </c>
      <c r="I425" s="7" t="s">
        <v>995</v>
      </c>
      <c r="J425" s="7" t="s">
        <v>996</v>
      </c>
      <c r="K425" s="7"/>
    </row>
    <row r="426" spans="1:11" ht="20.100000000000001" customHeight="1" x14ac:dyDescent="0.25">
      <c r="A426" s="12" t="s">
        <v>1362</v>
      </c>
      <c r="B426" s="13">
        <v>13571386</v>
      </c>
      <c r="C426" s="8">
        <v>400013532725</v>
      </c>
      <c r="D426" s="6" t="s">
        <v>993</v>
      </c>
      <c r="E426" s="18">
        <v>2</v>
      </c>
      <c r="F426" s="14">
        <v>40</v>
      </c>
      <c r="G426" s="14">
        <v>80</v>
      </c>
      <c r="H426" s="7" t="s">
        <v>994</v>
      </c>
      <c r="I426" s="7" t="s">
        <v>995</v>
      </c>
      <c r="J426" s="7" t="s">
        <v>996</v>
      </c>
      <c r="K426" s="7"/>
    </row>
    <row r="427" spans="1:11" ht="20.100000000000001" customHeight="1" x14ac:dyDescent="0.25">
      <c r="A427" s="12" t="s">
        <v>1362</v>
      </c>
      <c r="B427" s="13">
        <v>13571386</v>
      </c>
      <c r="C427" s="8">
        <v>400013532725</v>
      </c>
      <c r="D427" s="6" t="s">
        <v>993</v>
      </c>
      <c r="E427" s="18">
        <v>3</v>
      </c>
      <c r="F427" s="14">
        <v>40</v>
      </c>
      <c r="G427" s="14">
        <v>120</v>
      </c>
      <c r="H427" s="7" t="s">
        <v>994</v>
      </c>
      <c r="I427" s="7" t="s">
        <v>995</v>
      </c>
      <c r="J427" s="7" t="s">
        <v>996</v>
      </c>
      <c r="K427" s="7"/>
    </row>
    <row r="428" spans="1:11" ht="20.100000000000001" customHeight="1" x14ac:dyDescent="0.25">
      <c r="A428" s="12" t="s">
        <v>1362</v>
      </c>
      <c r="B428" s="13">
        <v>13571386</v>
      </c>
      <c r="C428" s="8">
        <v>657812174254</v>
      </c>
      <c r="D428" s="6" t="s">
        <v>564</v>
      </c>
      <c r="E428" s="18">
        <v>1</v>
      </c>
      <c r="F428" s="14">
        <v>79.989999999999995</v>
      </c>
      <c r="G428" s="14">
        <v>79.989999999999995</v>
      </c>
      <c r="H428" s="7" t="s">
        <v>944</v>
      </c>
      <c r="I428" s="7" t="s">
        <v>1017</v>
      </c>
      <c r="J428" s="7" t="s">
        <v>565</v>
      </c>
      <c r="K428" s="7"/>
    </row>
    <row r="429" spans="1:11" ht="20.100000000000001" customHeight="1" x14ac:dyDescent="0.25">
      <c r="A429" s="12" t="s">
        <v>1362</v>
      </c>
      <c r="B429" s="13">
        <v>13571386</v>
      </c>
      <c r="C429" s="8">
        <v>733002798452</v>
      </c>
      <c r="D429" s="6" t="s">
        <v>566</v>
      </c>
      <c r="E429" s="18">
        <v>2</v>
      </c>
      <c r="F429" s="14">
        <v>29.99</v>
      </c>
      <c r="G429" s="14">
        <v>59.98</v>
      </c>
      <c r="H429" s="7" t="s">
        <v>950</v>
      </c>
      <c r="I429" s="7" t="s">
        <v>1097</v>
      </c>
      <c r="J429" s="7" t="s">
        <v>1098</v>
      </c>
      <c r="K429" s="7"/>
    </row>
    <row r="430" spans="1:11" ht="20.100000000000001" customHeight="1" x14ac:dyDescent="0.25">
      <c r="A430" s="12" t="s">
        <v>1362</v>
      </c>
      <c r="B430" s="13">
        <v>13571386</v>
      </c>
      <c r="C430" s="8">
        <v>86569750365</v>
      </c>
      <c r="D430" s="6" t="s">
        <v>567</v>
      </c>
      <c r="E430" s="18">
        <v>1</v>
      </c>
      <c r="F430" s="14">
        <v>39.99</v>
      </c>
      <c r="G430" s="14">
        <v>39.99</v>
      </c>
      <c r="H430" s="7"/>
      <c r="I430" s="7" t="s">
        <v>1017</v>
      </c>
      <c r="J430" s="7" t="s">
        <v>955</v>
      </c>
      <c r="K430" s="7"/>
    </row>
    <row r="431" spans="1:11" ht="20.100000000000001" customHeight="1" x14ac:dyDescent="0.25">
      <c r="A431" s="12" t="s">
        <v>1362</v>
      </c>
      <c r="B431" s="13">
        <v>13571386</v>
      </c>
      <c r="C431" s="8">
        <v>190714494803</v>
      </c>
      <c r="D431" s="6" t="s">
        <v>568</v>
      </c>
      <c r="E431" s="18">
        <v>2</v>
      </c>
      <c r="F431" s="14">
        <v>29.99</v>
      </c>
      <c r="G431" s="14">
        <v>59.98</v>
      </c>
      <c r="H431" s="7" t="s">
        <v>941</v>
      </c>
      <c r="I431" s="7" t="s">
        <v>947</v>
      </c>
      <c r="J431" s="7" t="s">
        <v>1206</v>
      </c>
      <c r="K431" s="7"/>
    </row>
    <row r="432" spans="1:11" ht="20.100000000000001" customHeight="1" x14ac:dyDescent="0.25">
      <c r="A432" s="12" t="s">
        <v>1362</v>
      </c>
      <c r="B432" s="13">
        <v>13571386</v>
      </c>
      <c r="C432" s="8">
        <v>733003914912</v>
      </c>
      <c r="D432" s="6" t="s">
        <v>569</v>
      </c>
      <c r="E432" s="18">
        <v>1</v>
      </c>
      <c r="F432" s="14">
        <v>129.99</v>
      </c>
      <c r="G432" s="14">
        <v>129.99</v>
      </c>
      <c r="H432" s="7" t="s">
        <v>952</v>
      </c>
      <c r="I432" s="7" t="s">
        <v>969</v>
      </c>
      <c r="J432" s="7" t="s">
        <v>1135</v>
      </c>
      <c r="K432" s="7"/>
    </row>
    <row r="433" spans="1:11" ht="20.100000000000001" customHeight="1" x14ac:dyDescent="0.25">
      <c r="A433" s="12" t="s">
        <v>1362</v>
      </c>
      <c r="B433" s="13">
        <v>13571386</v>
      </c>
      <c r="C433" s="8">
        <v>788904039523</v>
      </c>
      <c r="D433" s="6" t="s">
        <v>570</v>
      </c>
      <c r="E433" s="18">
        <v>1</v>
      </c>
      <c r="F433" s="14">
        <v>54.99</v>
      </c>
      <c r="G433" s="14">
        <v>54.99</v>
      </c>
      <c r="H433" s="7" t="s">
        <v>997</v>
      </c>
      <c r="I433" s="7" t="s">
        <v>1017</v>
      </c>
      <c r="J433" s="7" t="s">
        <v>962</v>
      </c>
      <c r="K433" s="7"/>
    </row>
    <row r="434" spans="1:11" ht="20.100000000000001" customHeight="1" x14ac:dyDescent="0.25">
      <c r="A434" s="12" t="s">
        <v>1362</v>
      </c>
      <c r="B434" s="13">
        <v>13571386</v>
      </c>
      <c r="C434" s="8">
        <v>883893734456</v>
      </c>
      <c r="D434" s="6" t="s">
        <v>571</v>
      </c>
      <c r="E434" s="18">
        <v>1</v>
      </c>
      <c r="F434" s="14">
        <v>24.99</v>
      </c>
      <c r="G434" s="14">
        <v>24.99</v>
      </c>
      <c r="H434" s="7" t="s">
        <v>1013</v>
      </c>
      <c r="I434" s="7" t="s">
        <v>1003</v>
      </c>
      <c r="J434" s="7" t="s">
        <v>1053</v>
      </c>
      <c r="K434" s="7"/>
    </row>
    <row r="435" spans="1:11" ht="20.100000000000001" customHeight="1" x14ac:dyDescent="0.25">
      <c r="A435" s="12" t="s">
        <v>1362</v>
      </c>
      <c r="B435" s="13">
        <v>13571386</v>
      </c>
      <c r="C435" s="8">
        <v>733003941611</v>
      </c>
      <c r="D435" s="6" t="s">
        <v>572</v>
      </c>
      <c r="E435" s="18">
        <v>1</v>
      </c>
      <c r="F435" s="14">
        <v>149.99</v>
      </c>
      <c r="G435" s="14">
        <v>149.99</v>
      </c>
      <c r="H435" s="7" t="s">
        <v>944</v>
      </c>
      <c r="I435" s="7" t="s">
        <v>1097</v>
      </c>
      <c r="J435" s="7" t="s">
        <v>1098</v>
      </c>
      <c r="K435" s="7"/>
    </row>
    <row r="436" spans="1:11" ht="20.100000000000001" customHeight="1" x14ac:dyDescent="0.25">
      <c r="A436" s="12" t="s">
        <v>1362</v>
      </c>
      <c r="B436" s="13">
        <v>13571386</v>
      </c>
      <c r="C436" s="8">
        <v>887924082851</v>
      </c>
      <c r="D436" s="6" t="s">
        <v>573</v>
      </c>
      <c r="E436" s="18">
        <v>1</v>
      </c>
      <c r="F436" s="14">
        <v>69.989999999999995</v>
      </c>
      <c r="G436" s="14">
        <v>69.989999999999995</v>
      </c>
      <c r="H436" s="7" t="s">
        <v>938</v>
      </c>
      <c r="I436" s="7" t="s">
        <v>939</v>
      </c>
      <c r="J436" s="7" t="s">
        <v>545</v>
      </c>
      <c r="K436" s="7"/>
    </row>
    <row r="437" spans="1:11" ht="20.100000000000001" customHeight="1" x14ac:dyDescent="0.25">
      <c r="A437" s="12" t="s">
        <v>1362</v>
      </c>
      <c r="B437" s="13">
        <v>13571386</v>
      </c>
      <c r="C437" s="8">
        <v>735732250453</v>
      </c>
      <c r="D437" s="6" t="s">
        <v>1444</v>
      </c>
      <c r="E437" s="18">
        <v>1</v>
      </c>
      <c r="F437" s="14">
        <v>25.99</v>
      </c>
      <c r="G437" s="14">
        <v>25.99</v>
      </c>
      <c r="H437" s="7" t="s">
        <v>944</v>
      </c>
      <c r="I437" s="7" t="s">
        <v>958</v>
      </c>
      <c r="J437" s="7" t="s">
        <v>1170</v>
      </c>
      <c r="K437" s="7"/>
    </row>
    <row r="438" spans="1:11" ht="20.100000000000001" customHeight="1" x14ac:dyDescent="0.25">
      <c r="A438" s="12" t="s">
        <v>1362</v>
      </c>
      <c r="B438" s="13">
        <v>13571386</v>
      </c>
      <c r="C438" s="8">
        <v>733004298189</v>
      </c>
      <c r="D438" s="6" t="s">
        <v>574</v>
      </c>
      <c r="E438" s="18">
        <v>1</v>
      </c>
      <c r="F438" s="14">
        <v>29.99</v>
      </c>
      <c r="G438" s="14">
        <v>29.99</v>
      </c>
      <c r="H438" s="7" t="s">
        <v>950</v>
      </c>
      <c r="I438" s="7" t="s">
        <v>971</v>
      </c>
      <c r="J438" s="7" t="s">
        <v>1125</v>
      </c>
      <c r="K438" s="7"/>
    </row>
    <row r="439" spans="1:11" ht="20.100000000000001" customHeight="1" x14ac:dyDescent="0.25">
      <c r="A439" s="12" t="s">
        <v>1362</v>
      </c>
      <c r="B439" s="13">
        <v>13571386</v>
      </c>
      <c r="C439" s="8">
        <v>91116737317</v>
      </c>
      <c r="D439" s="6" t="s">
        <v>1402</v>
      </c>
      <c r="E439" s="18">
        <v>1</v>
      </c>
      <c r="F439" s="14">
        <v>29.99</v>
      </c>
      <c r="G439" s="14">
        <v>29.99</v>
      </c>
      <c r="H439" s="7" t="s">
        <v>1032</v>
      </c>
      <c r="I439" s="7" t="s">
        <v>939</v>
      </c>
      <c r="J439" s="7" t="s">
        <v>1249</v>
      </c>
      <c r="K439" s="7"/>
    </row>
    <row r="440" spans="1:11" ht="20.100000000000001" customHeight="1" x14ac:dyDescent="0.25">
      <c r="A440" s="12" t="s">
        <v>1362</v>
      </c>
      <c r="B440" s="13">
        <v>13571386</v>
      </c>
      <c r="C440" s="8">
        <v>190714468026</v>
      </c>
      <c r="D440" s="6" t="s">
        <v>1292</v>
      </c>
      <c r="E440" s="18">
        <v>1</v>
      </c>
      <c r="F440" s="14">
        <v>29.99</v>
      </c>
      <c r="G440" s="14">
        <v>29.99</v>
      </c>
      <c r="H440" s="7" t="s">
        <v>944</v>
      </c>
      <c r="I440" s="7" t="s">
        <v>947</v>
      </c>
      <c r="J440" s="7" t="s">
        <v>1206</v>
      </c>
      <c r="K440" s="7"/>
    </row>
    <row r="441" spans="1:11" ht="20.100000000000001" customHeight="1" x14ac:dyDescent="0.25">
      <c r="A441" s="12" t="s">
        <v>1362</v>
      </c>
      <c r="B441" s="13">
        <v>13571386</v>
      </c>
      <c r="C441" s="8">
        <v>42075607050</v>
      </c>
      <c r="D441" s="6" t="s">
        <v>575</v>
      </c>
      <c r="E441" s="18">
        <v>2</v>
      </c>
      <c r="F441" s="14">
        <v>179.99</v>
      </c>
      <c r="G441" s="14">
        <v>359.98</v>
      </c>
      <c r="H441" s="7" t="s">
        <v>944</v>
      </c>
      <c r="I441" s="7" t="s">
        <v>999</v>
      </c>
      <c r="J441" s="7" t="s">
        <v>1000</v>
      </c>
      <c r="K441" s="7"/>
    </row>
    <row r="442" spans="1:11" ht="20.100000000000001" customHeight="1" x14ac:dyDescent="0.25">
      <c r="A442" s="12" t="s">
        <v>1362</v>
      </c>
      <c r="B442" s="13">
        <v>13571386</v>
      </c>
      <c r="C442" s="8">
        <v>73558822851</v>
      </c>
      <c r="D442" s="6" t="s">
        <v>576</v>
      </c>
      <c r="E442" s="18">
        <v>2</v>
      </c>
      <c r="F442" s="14">
        <v>79.989999999999995</v>
      </c>
      <c r="G442" s="14">
        <v>159.97999999999999</v>
      </c>
      <c r="H442" s="7"/>
      <c r="I442" s="7" t="s">
        <v>945</v>
      </c>
      <c r="J442" s="7" t="s">
        <v>1406</v>
      </c>
      <c r="K442" s="7"/>
    </row>
    <row r="443" spans="1:11" ht="20.100000000000001" customHeight="1" x14ac:dyDescent="0.25">
      <c r="A443" s="12" t="s">
        <v>1362</v>
      </c>
      <c r="B443" s="13">
        <v>13571386</v>
      </c>
      <c r="C443" s="8">
        <v>191790042452</v>
      </c>
      <c r="D443" s="6" t="s">
        <v>577</v>
      </c>
      <c r="E443" s="18">
        <v>3</v>
      </c>
      <c r="F443" s="14">
        <v>49.99</v>
      </c>
      <c r="G443" s="14">
        <v>149.97</v>
      </c>
      <c r="H443" s="7" t="s">
        <v>941</v>
      </c>
      <c r="I443" s="7" t="s">
        <v>939</v>
      </c>
      <c r="J443" s="7" t="s">
        <v>986</v>
      </c>
      <c r="K443" s="7"/>
    </row>
    <row r="444" spans="1:11" ht="20.100000000000001" customHeight="1" x14ac:dyDescent="0.25">
      <c r="A444" s="12" t="s">
        <v>1362</v>
      </c>
      <c r="B444" s="13">
        <v>13571386</v>
      </c>
      <c r="C444" s="8">
        <v>192472013876</v>
      </c>
      <c r="D444" s="6" t="s">
        <v>578</v>
      </c>
      <c r="E444" s="18">
        <v>1</v>
      </c>
      <c r="F444" s="14">
        <v>89</v>
      </c>
      <c r="G444" s="14">
        <v>89</v>
      </c>
      <c r="H444" s="7" t="s">
        <v>941</v>
      </c>
      <c r="I444" s="7" t="s">
        <v>942</v>
      </c>
      <c r="J444" s="7" t="s">
        <v>579</v>
      </c>
      <c r="K444" s="7"/>
    </row>
    <row r="445" spans="1:11" ht="20.100000000000001" customHeight="1" x14ac:dyDescent="0.25">
      <c r="A445" s="12" t="s">
        <v>1362</v>
      </c>
      <c r="B445" s="13">
        <v>13571386</v>
      </c>
      <c r="C445" s="8">
        <v>194590036157</v>
      </c>
      <c r="D445" s="6" t="s">
        <v>580</v>
      </c>
      <c r="E445" s="18">
        <v>3</v>
      </c>
      <c r="F445" s="14">
        <v>22.99</v>
      </c>
      <c r="G445" s="14">
        <v>68.97</v>
      </c>
      <c r="H445" s="7" t="s">
        <v>950</v>
      </c>
      <c r="I445" s="7" t="s">
        <v>1221</v>
      </c>
      <c r="J445" s="7" t="s">
        <v>977</v>
      </c>
      <c r="K445" s="7"/>
    </row>
    <row r="446" spans="1:11" ht="20.100000000000001" customHeight="1" x14ac:dyDescent="0.25">
      <c r="A446" s="12" t="s">
        <v>1362</v>
      </c>
      <c r="B446" s="13">
        <v>13571386</v>
      </c>
      <c r="C446" s="8">
        <v>789622559836</v>
      </c>
      <c r="D446" s="6" t="s">
        <v>581</v>
      </c>
      <c r="E446" s="18">
        <v>2</v>
      </c>
      <c r="F446" s="14">
        <v>37.99</v>
      </c>
      <c r="G446" s="14">
        <v>75.98</v>
      </c>
      <c r="H446" s="7" t="s">
        <v>944</v>
      </c>
      <c r="I446" s="7" t="s">
        <v>1017</v>
      </c>
      <c r="J446" s="7" t="s">
        <v>1077</v>
      </c>
      <c r="K446" s="7"/>
    </row>
    <row r="447" spans="1:11" ht="20.100000000000001" customHeight="1" x14ac:dyDescent="0.25">
      <c r="A447" s="12" t="s">
        <v>1362</v>
      </c>
      <c r="B447" s="13">
        <v>13571386</v>
      </c>
      <c r="C447" s="8">
        <v>190945134561</v>
      </c>
      <c r="D447" s="6" t="s">
        <v>582</v>
      </c>
      <c r="E447" s="18">
        <v>1</v>
      </c>
      <c r="F447" s="14">
        <v>39.99</v>
      </c>
      <c r="G447" s="14">
        <v>39.99</v>
      </c>
      <c r="H447" s="7" t="s">
        <v>950</v>
      </c>
      <c r="I447" s="7" t="s">
        <v>947</v>
      </c>
      <c r="J447" s="7" t="s">
        <v>1031</v>
      </c>
      <c r="K447" s="7"/>
    </row>
    <row r="448" spans="1:11" ht="20.100000000000001" customHeight="1" x14ac:dyDescent="0.25">
      <c r="A448" s="12" t="s">
        <v>1362</v>
      </c>
      <c r="B448" s="13">
        <v>13571386</v>
      </c>
      <c r="C448" s="8">
        <v>29927587173</v>
      </c>
      <c r="D448" s="6" t="s">
        <v>583</v>
      </c>
      <c r="E448" s="18">
        <v>1</v>
      </c>
      <c r="F448" s="14">
        <v>26.99</v>
      </c>
      <c r="G448" s="14">
        <v>26.99</v>
      </c>
      <c r="H448" s="7" t="s">
        <v>938</v>
      </c>
      <c r="I448" s="7" t="s">
        <v>947</v>
      </c>
      <c r="J448" s="7" t="s">
        <v>982</v>
      </c>
      <c r="K448" s="7"/>
    </row>
    <row r="449" spans="1:11" ht="20.100000000000001" customHeight="1" x14ac:dyDescent="0.25">
      <c r="A449" s="12" t="s">
        <v>1362</v>
      </c>
      <c r="B449" s="13">
        <v>13571386</v>
      </c>
      <c r="C449" s="8">
        <v>783048126313</v>
      </c>
      <c r="D449" s="6" t="s">
        <v>584</v>
      </c>
      <c r="E449" s="18">
        <v>1</v>
      </c>
      <c r="F449" s="14">
        <v>29.99</v>
      </c>
      <c r="G449" s="14">
        <v>29.99</v>
      </c>
      <c r="H449" s="7" t="s">
        <v>1082</v>
      </c>
      <c r="I449" s="7" t="s">
        <v>958</v>
      </c>
      <c r="J449" s="7" t="s">
        <v>1021</v>
      </c>
      <c r="K449" s="7"/>
    </row>
    <row r="450" spans="1:11" ht="20.100000000000001" customHeight="1" x14ac:dyDescent="0.25">
      <c r="A450" s="12" t="s">
        <v>1362</v>
      </c>
      <c r="B450" s="13">
        <v>13571386</v>
      </c>
      <c r="C450" s="8">
        <v>810549020021</v>
      </c>
      <c r="D450" s="6" t="s">
        <v>585</v>
      </c>
      <c r="E450" s="18">
        <v>1</v>
      </c>
      <c r="F450" s="14">
        <v>26.99</v>
      </c>
      <c r="G450" s="14">
        <v>26.99</v>
      </c>
      <c r="H450" s="7" t="s">
        <v>987</v>
      </c>
      <c r="I450" s="7" t="s">
        <v>939</v>
      </c>
      <c r="J450" s="7" t="s">
        <v>1143</v>
      </c>
      <c r="K450" s="7"/>
    </row>
    <row r="451" spans="1:11" ht="20.100000000000001" customHeight="1" x14ac:dyDescent="0.25">
      <c r="A451" s="12" t="s">
        <v>1362</v>
      </c>
      <c r="B451" s="13">
        <v>13571386</v>
      </c>
      <c r="C451" s="8">
        <v>733002490141</v>
      </c>
      <c r="D451" s="6" t="s">
        <v>586</v>
      </c>
      <c r="E451" s="18">
        <v>1</v>
      </c>
      <c r="F451" s="14">
        <v>89.99</v>
      </c>
      <c r="G451" s="14">
        <v>89.99</v>
      </c>
      <c r="H451" s="7" t="s">
        <v>1013</v>
      </c>
      <c r="I451" s="7" t="s">
        <v>1046</v>
      </c>
      <c r="J451" s="7" t="s">
        <v>1047</v>
      </c>
      <c r="K451" s="7"/>
    </row>
    <row r="452" spans="1:11" ht="20.100000000000001" customHeight="1" x14ac:dyDescent="0.25">
      <c r="A452" s="12" t="s">
        <v>1362</v>
      </c>
      <c r="B452" s="13">
        <v>13571386</v>
      </c>
      <c r="C452" s="8">
        <v>734737644267</v>
      </c>
      <c r="D452" s="6" t="s">
        <v>587</v>
      </c>
      <c r="E452" s="18">
        <v>2</v>
      </c>
      <c r="F452" s="14">
        <v>69.989999999999995</v>
      </c>
      <c r="G452" s="14">
        <v>139.97999999999999</v>
      </c>
      <c r="H452" s="7" t="s">
        <v>944</v>
      </c>
      <c r="I452" s="7" t="s">
        <v>1003</v>
      </c>
      <c r="J452" s="7" t="s">
        <v>1133</v>
      </c>
      <c r="K452" s="7"/>
    </row>
    <row r="453" spans="1:11" ht="20.100000000000001" customHeight="1" x14ac:dyDescent="0.25">
      <c r="A453" s="12" t="s">
        <v>1362</v>
      </c>
      <c r="B453" s="13">
        <v>13571386</v>
      </c>
      <c r="C453" s="8">
        <v>813538021047</v>
      </c>
      <c r="D453" s="6" t="s">
        <v>588</v>
      </c>
      <c r="E453" s="18">
        <v>1</v>
      </c>
      <c r="F453" s="14">
        <v>90</v>
      </c>
      <c r="G453" s="14">
        <v>90</v>
      </c>
      <c r="H453" s="7" t="s">
        <v>994</v>
      </c>
      <c r="I453" s="7" t="s">
        <v>939</v>
      </c>
      <c r="J453" s="7" t="s">
        <v>953</v>
      </c>
      <c r="K453" s="7"/>
    </row>
    <row r="454" spans="1:11" ht="20.100000000000001" customHeight="1" x14ac:dyDescent="0.25">
      <c r="A454" s="12" t="s">
        <v>1362</v>
      </c>
      <c r="B454" s="13">
        <v>13571386</v>
      </c>
      <c r="C454" s="8">
        <v>21864399079</v>
      </c>
      <c r="D454" s="6" t="s">
        <v>589</v>
      </c>
      <c r="E454" s="18">
        <v>2</v>
      </c>
      <c r="F454" s="14">
        <v>79.989999999999995</v>
      </c>
      <c r="G454" s="14">
        <v>159.97999999999999</v>
      </c>
      <c r="H454" s="7" t="s">
        <v>1062</v>
      </c>
      <c r="I454" s="7" t="s">
        <v>958</v>
      </c>
      <c r="J454" s="7" t="s">
        <v>1196</v>
      </c>
      <c r="K454" s="7"/>
    </row>
    <row r="455" spans="1:11" ht="20.100000000000001" customHeight="1" x14ac:dyDescent="0.25">
      <c r="A455" s="12" t="s">
        <v>1362</v>
      </c>
      <c r="B455" s="13">
        <v>13571386</v>
      </c>
      <c r="C455" s="8">
        <v>38992943319</v>
      </c>
      <c r="D455" s="6" t="s">
        <v>590</v>
      </c>
      <c r="E455" s="18">
        <v>1</v>
      </c>
      <c r="F455" s="14">
        <v>399.99</v>
      </c>
      <c r="G455" s="14">
        <v>399.99</v>
      </c>
      <c r="H455" s="7" t="s">
        <v>952</v>
      </c>
      <c r="I455" s="7" t="s">
        <v>966</v>
      </c>
      <c r="J455" s="7" t="s">
        <v>998</v>
      </c>
      <c r="K455" s="7"/>
    </row>
    <row r="456" spans="1:11" ht="20.100000000000001" customHeight="1" x14ac:dyDescent="0.25">
      <c r="A456" s="12" t="s">
        <v>1362</v>
      </c>
      <c r="B456" s="13">
        <v>13571386</v>
      </c>
      <c r="C456" s="8">
        <v>733004904509</v>
      </c>
      <c r="D456" s="6" t="s">
        <v>591</v>
      </c>
      <c r="E456" s="18">
        <v>1</v>
      </c>
      <c r="F456" s="14">
        <v>129.99</v>
      </c>
      <c r="G456" s="14">
        <v>129.99</v>
      </c>
      <c r="H456" s="7" t="s">
        <v>950</v>
      </c>
      <c r="I456" s="7" t="s">
        <v>1097</v>
      </c>
      <c r="J456" s="7" t="s">
        <v>1098</v>
      </c>
      <c r="K456" s="7"/>
    </row>
    <row r="457" spans="1:11" ht="20.100000000000001" customHeight="1" x14ac:dyDescent="0.25">
      <c r="A457" s="12" t="s">
        <v>1362</v>
      </c>
      <c r="B457" s="13">
        <v>13571386</v>
      </c>
      <c r="C457" s="8">
        <v>73558822943</v>
      </c>
      <c r="D457" s="6" t="s">
        <v>1405</v>
      </c>
      <c r="E457" s="18">
        <v>1</v>
      </c>
      <c r="F457" s="14">
        <v>109.99</v>
      </c>
      <c r="G457" s="14">
        <v>109.99</v>
      </c>
      <c r="H457" s="7"/>
      <c r="I457" s="7" t="s">
        <v>1342</v>
      </c>
      <c r="J457" s="7" t="s">
        <v>1406</v>
      </c>
      <c r="K457" s="7"/>
    </row>
    <row r="458" spans="1:11" ht="20.100000000000001" customHeight="1" x14ac:dyDescent="0.25">
      <c r="A458" s="12" t="s">
        <v>1362</v>
      </c>
      <c r="B458" s="13">
        <v>13571386</v>
      </c>
      <c r="C458" s="8">
        <v>840037210207</v>
      </c>
      <c r="D458" s="6" t="s">
        <v>1438</v>
      </c>
      <c r="E458" s="18">
        <v>1</v>
      </c>
      <c r="F458" s="14">
        <v>29.99</v>
      </c>
      <c r="G458" s="14">
        <v>29.99</v>
      </c>
      <c r="H458" s="7" t="s">
        <v>994</v>
      </c>
      <c r="I458" s="7" t="s">
        <v>1033</v>
      </c>
      <c r="J458" s="7" t="s">
        <v>1237</v>
      </c>
      <c r="K458" s="7"/>
    </row>
    <row r="459" spans="1:11" ht="20.100000000000001" customHeight="1" x14ac:dyDescent="0.25">
      <c r="A459" s="12" t="s">
        <v>1362</v>
      </c>
      <c r="B459" s="13">
        <v>13571386</v>
      </c>
      <c r="C459" s="8">
        <v>733003761561</v>
      </c>
      <c r="D459" s="6" t="s">
        <v>592</v>
      </c>
      <c r="E459" s="18">
        <v>1</v>
      </c>
      <c r="F459" s="14">
        <v>29.99</v>
      </c>
      <c r="G459" s="14">
        <v>29.99</v>
      </c>
      <c r="H459" s="7" t="s">
        <v>1050</v>
      </c>
      <c r="I459" s="7" t="s">
        <v>971</v>
      </c>
      <c r="J459" s="7" t="s">
        <v>972</v>
      </c>
      <c r="K459" s="7"/>
    </row>
    <row r="460" spans="1:11" ht="20.100000000000001" customHeight="1" x14ac:dyDescent="0.25">
      <c r="A460" s="12" t="s">
        <v>1362</v>
      </c>
      <c r="B460" s="13">
        <v>13571386</v>
      </c>
      <c r="C460" s="8">
        <v>733003940096</v>
      </c>
      <c r="D460" s="6" t="s">
        <v>593</v>
      </c>
      <c r="E460" s="18">
        <v>1</v>
      </c>
      <c r="F460" s="14">
        <v>139.99</v>
      </c>
      <c r="G460" s="14">
        <v>139.99</v>
      </c>
      <c r="H460" s="7" t="s">
        <v>984</v>
      </c>
      <c r="I460" s="7" t="s">
        <v>1080</v>
      </c>
      <c r="J460" s="7" t="s">
        <v>1117</v>
      </c>
      <c r="K460" s="7"/>
    </row>
    <row r="461" spans="1:11" ht="20.100000000000001" customHeight="1" x14ac:dyDescent="0.25">
      <c r="A461" s="12" t="s">
        <v>1362</v>
      </c>
      <c r="B461" s="13">
        <v>13571386</v>
      </c>
      <c r="C461" s="8">
        <v>732998859185</v>
      </c>
      <c r="D461" s="6" t="s">
        <v>594</v>
      </c>
      <c r="E461" s="18">
        <v>1</v>
      </c>
      <c r="F461" s="14">
        <v>109.99</v>
      </c>
      <c r="G461" s="14">
        <v>109.99</v>
      </c>
      <c r="H461" s="7" t="s">
        <v>1095</v>
      </c>
      <c r="I461" s="7" t="s">
        <v>1097</v>
      </c>
      <c r="J461" s="7" t="s">
        <v>1098</v>
      </c>
      <c r="K461" s="7"/>
    </row>
    <row r="462" spans="1:11" ht="20.100000000000001" customHeight="1" x14ac:dyDescent="0.25">
      <c r="A462" s="12" t="s">
        <v>1362</v>
      </c>
      <c r="B462" s="13">
        <v>13571386</v>
      </c>
      <c r="C462" s="8">
        <v>733003557508</v>
      </c>
      <c r="D462" s="6" t="s">
        <v>595</v>
      </c>
      <c r="E462" s="18">
        <v>1</v>
      </c>
      <c r="F462" s="14">
        <v>129.99</v>
      </c>
      <c r="G462" s="14">
        <v>129.99</v>
      </c>
      <c r="H462" s="7" t="s">
        <v>944</v>
      </c>
      <c r="I462" s="7" t="s">
        <v>1097</v>
      </c>
      <c r="J462" s="7" t="s">
        <v>1352</v>
      </c>
      <c r="K462" s="7"/>
    </row>
    <row r="463" spans="1:11" ht="20.100000000000001" customHeight="1" x14ac:dyDescent="0.25">
      <c r="A463" s="12" t="s">
        <v>1362</v>
      </c>
      <c r="B463" s="13">
        <v>13571386</v>
      </c>
      <c r="C463" s="8">
        <v>735732232657</v>
      </c>
      <c r="D463" s="6" t="s">
        <v>596</v>
      </c>
      <c r="E463" s="18">
        <v>1</v>
      </c>
      <c r="F463" s="14">
        <v>66.989999999999995</v>
      </c>
      <c r="G463" s="14">
        <v>66.989999999999995</v>
      </c>
      <c r="H463" s="7" t="s">
        <v>1026</v>
      </c>
      <c r="I463" s="7" t="s">
        <v>945</v>
      </c>
      <c r="J463" s="7" t="s">
        <v>1170</v>
      </c>
      <c r="K463" s="7"/>
    </row>
    <row r="464" spans="1:11" ht="20.100000000000001" customHeight="1" x14ac:dyDescent="0.25">
      <c r="A464" s="12" t="s">
        <v>1362</v>
      </c>
      <c r="B464" s="13">
        <v>13571386</v>
      </c>
      <c r="C464" s="8">
        <v>847636047869</v>
      </c>
      <c r="D464" s="6" t="s">
        <v>597</v>
      </c>
      <c r="E464" s="18">
        <v>1</v>
      </c>
      <c r="F464" s="14">
        <v>29.99</v>
      </c>
      <c r="G464" s="14">
        <v>29.99</v>
      </c>
      <c r="H464" s="7" t="s">
        <v>1036</v>
      </c>
      <c r="I464" s="7" t="s">
        <v>945</v>
      </c>
      <c r="J464" s="7" t="s">
        <v>1183</v>
      </c>
      <c r="K464" s="7"/>
    </row>
    <row r="465" spans="1:11" ht="20.100000000000001" customHeight="1" x14ac:dyDescent="0.25">
      <c r="A465" s="12" t="s">
        <v>1362</v>
      </c>
      <c r="B465" s="13">
        <v>13571386</v>
      </c>
      <c r="C465" s="8">
        <v>193842108024</v>
      </c>
      <c r="D465" s="6" t="s">
        <v>598</v>
      </c>
      <c r="E465" s="18">
        <v>1</v>
      </c>
      <c r="F465" s="14">
        <v>59.99</v>
      </c>
      <c r="G465" s="14">
        <v>59.99</v>
      </c>
      <c r="H465" s="7" t="s">
        <v>952</v>
      </c>
      <c r="I465" s="7" t="s">
        <v>966</v>
      </c>
      <c r="J465" s="7" t="s">
        <v>967</v>
      </c>
      <c r="K465" s="7"/>
    </row>
    <row r="466" spans="1:11" ht="20.100000000000001" customHeight="1" x14ac:dyDescent="0.25">
      <c r="A466" s="12" t="s">
        <v>1362</v>
      </c>
      <c r="B466" s="13">
        <v>13571386</v>
      </c>
      <c r="C466" s="8">
        <v>86569373151</v>
      </c>
      <c r="D466" s="6" t="s">
        <v>599</v>
      </c>
      <c r="E466" s="18">
        <v>1</v>
      </c>
      <c r="F466" s="14">
        <v>69.989999999999995</v>
      </c>
      <c r="G466" s="14">
        <v>69.989999999999995</v>
      </c>
      <c r="H466" s="7" t="s">
        <v>941</v>
      </c>
      <c r="I466" s="7" t="s">
        <v>1058</v>
      </c>
      <c r="J466" s="7" t="s">
        <v>1088</v>
      </c>
      <c r="K466" s="7"/>
    </row>
    <row r="467" spans="1:11" ht="20.100000000000001" customHeight="1" x14ac:dyDescent="0.25">
      <c r="A467" s="12" t="s">
        <v>1362</v>
      </c>
      <c r="B467" s="13">
        <v>13571386</v>
      </c>
      <c r="C467" s="8">
        <v>91116735832</v>
      </c>
      <c r="D467" s="6" t="s">
        <v>600</v>
      </c>
      <c r="E467" s="18">
        <v>1</v>
      </c>
      <c r="F467" s="14">
        <v>19.989999999999998</v>
      </c>
      <c r="G467" s="14">
        <v>19.989999999999998</v>
      </c>
      <c r="H467" s="7" t="s">
        <v>944</v>
      </c>
      <c r="I467" s="7" t="s">
        <v>939</v>
      </c>
      <c r="J467" s="7" t="s">
        <v>1249</v>
      </c>
      <c r="K467" s="7"/>
    </row>
    <row r="468" spans="1:11" ht="20.100000000000001" customHeight="1" x14ac:dyDescent="0.25">
      <c r="A468" s="12" t="s">
        <v>1362</v>
      </c>
      <c r="B468" s="13">
        <v>13571386</v>
      </c>
      <c r="C468" s="8">
        <v>190945135308</v>
      </c>
      <c r="D468" s="6" t="s">
        <v>601</v>
      </c>
      <c r="E468" s="18">
        <v>1</v>
      </c>
      <c r="F468" s="14">
        <v>149.99</v>
      </c>
      <c r="G468" s="14">
        <v>149.99</v>
      </c>
      <c r="H468" s="7"/>
      <c r="I468" s="7" t="s">
        <v>947</v>
      </c>
      <c r="J468" s="7" t="s">
        <v>1031</v>
      </c>
      <c r="K468" s="7"/>
    </row>
    <row r="469" spans="1:11" ht="20.100000000000001" customHeight="1" x14ac:dyDescent="0.25">
      <c r="A469" s="12" t="s">
        <v>1362</v>
      </c>
      <c r="B469" s="13">
        <v>13571386</v>
      </c>
      <c r="C469" s="8">
        <v>86569514882</v>
      </c>
      <c r="D469" s="6" t="s">
        <v>602</v>
      </c>
      <c r="E469" s="18">
        <v>1</v>
      </c>
      <c r="F469" s="14">
        <v>19.989999999999998</v>
      </c>
      <c r="G469" s="14">
        <v>19.989999999999998</v>
      </c>
      <c r="H469" s="7" t="s">
        <v>941</v>
      </c>
      <c r="I469" s="7" t="s">
        <v>958</v>
      </c>
      <c r="J469" s="7" t="s">
        <v>955</v>
      </c>
      <c r="K469" s="7"/>
    </row>
    <row r="470" spans="1:11" ht="20.100000000000001" customHeight="1" x14ac:dyDescent="0.25">
      <c r="A470" s="12" t="s">
        <v>1362</v>
      </c>
      <c r="B470" s="13">
        <v>13571386</v>
      </c>
      <c r="C470" s="8">
        <v>29927584202</v>
      </c>
      <c r="D470" s="6" t="s">
        <v>603</v>
      </c>
      <c r="E470" s="18">
        <v>2</v>
      </c>
      <c r="F470" s="14">
        <v>24.99</v>
      </c>
      <c r="G470" s="14">
        <v>49.98</v>
      </c>
      <c r="H470" s="7" t="s">
        <v>944</v>
      </c>
      <c r="I470" s="7" t="s">
        <v>947</v>
      </c>
      <c r="J470" s="7" t="s">
        <v>982</v>
      </c>
      <c r="K470" s="7"/>
    </row>
    <row r="471" spans="1:11" ht="20.100000000000001" customHeight="1" x14ac:dyDescent="0.25">
      <c r="A471" s="12" t="s">
        <v>1362</v>
      </c>
      <c r="B471" s="13">
        <v>13571386</v>
      </c>
      <c r="C471" s="8">
        <v>848405060775</v>
      </c>
      <c r="D471" s="6" t="s">
        <v>1408</v>
      </c>
      <c r="E471" s="18">
        <v>1</v>
      </c>
      <c r="F471" s="14">
        <v>18.989999999999998</v>
      </c>
      <c r="G471" s="14">
        <v>18.989999999999998</v>
      </c>
      <c r="H471" s="7"/>
      <c r="I471" s="7" t="s">
        <v>1033</v>
      </c>
      <c r="J471" s="7" t="s">
        <v>1061</v>
      </c>
      <c r="K471" s="7"/>
    </row>
    <row r="472" spans="1:11" ht="20.100000000000001" customHeight="1" x14ac:dyDescent="0.25">
      <c r="A472" s="12" t="s">
        <v>1362</v>
      </c>
      <c r="B472" s="13">
        <v>13571386</v>
      </c>
      <c r="C472" s="8">
        <v>733003100261</v>
      </c>
      <c r="D472" s="6" t="s">
        <v>604</v>
      </c>
      <c r="E472" s="18">
        <v>1</v>
      </c>
      <c r="F472" s="14">
        <v>99.99</v>
      </c>
      <c r="G472" s="14">
        <v>99.99</v>
      </c>
      <c r="H472" s="7" t="s">
        <v>941</v>
      </c>
      <c r="I472" s="7" t="s">
        <v>1022</v>
      </c>
      <c r="J472" s="7" t="s">
        <v>1254</v>
      </c>
      <c r="K472" s="7"/>
    </row>
    <row r="473" spans="1:11" ht="20.100000000000001" customHeight="1" x14ac:dyDescent="0.25">
      <c r="A473" s="12" t="s">
        <v>1362</v>
      </c>
      <c r="B473" s="13">
        <v>13571386</v>
      </c>
      <c r="C473" s="8">
        <v>842941142469</v>
      </c>
      <c r="D473" s="6" t="s">
        <v>605</v>
      </c>
      <c r="E473" s="18">
        <v>1</v>
      </c>
      <c r="F473" s="14">
        <v>114</v>
      </c>
      <c r="G473" s="14">
        <v>114</v>
      </c>
      <c r="H473" s="7" t="s">
        <v>1236</v>
      </c>
      <c r="I473" s="7" t="s">
        <v>947</v>
      </c>
      <c r="J473" s="7" t="s">
        <v>1280</v>
      </c>
      <c r="K473" s="7"/>
    </row>
    <row r="474" spans="1:11" ht="20.100000000000001" customHeight="1" x14ac:dyDescent="0.25">
      <c r="A474" s="12" t="s">
        <v>1362</v>
      </c>
      <c r="B474" s="13">
        <v>13571386</v>
      </c>
      <c r="C474" s="8">
        <v>8680908719253</v>
      </c>
      <c r="D474" s="6" t="s">
        <v>606</v>
      </c>
      <c r="E474" s="18">
        <v>1</v>
      </c>
      <c r="F474" s="14">
        <v>111.99</v>
      </c>
      <c r="G474" s="14">
        <v>111.99</v>
      </c>
      <c r="H474" s="7" t="s">
        <v>1032</v>
      </c>
      <c r="I474" s="7" t="s">
        <v>1033</v>
      </c>
      <c r="J474" s="7" t="s">
        <v>1034</v>
      </c>
      <c r="K474" s="7"/>
    </row>
    <row r="475" spans="1:11" ht="20.100000000000001" customHeight="1" x14ac:dyDescent="0.25">
      <c r="A475" s="12" t="s">
        <v>1362</v>
      </c>
      <c r="B475" s="13">
        <v>13571386</v>
      </c>
      <c r="C475" s="8">
        <v>733004723995</v>
      </c>
      <c r="D475" s="6" t="s">
        <v>607</v>
      </c>
      <c r="E475" s="18">
        <v>1</v>
      </c>
      <c r="F475" s="14">
        <v>69.989999999999995</v>
      </c>
      <c r="G475" s="14">
        <v>69.989999999999995</v>
      </c>
      <c r="H475" s="7" t="s">
        <v>950</v>
      </c>
      <c r="I475" s="7" t="s">
        <v>956</v>
      </c>
      <c r="J475" s="7" t="s">
        <v>1109</v>
      </c>
      <c r="K475" s="7"/>
    </row>
    <row r="476" spans="1:11" ht="20.100000000000001" customHeight="1" x14ac:dyDescent="0.25">
      <c r="A476" s="12" t="s">
        <v>1362</v>
      </c>
      <c r="B476" s="13">
        <v>13571386</v>
      </c>
      <c r="C476" s="8">
        <v>788904162528</v>
      </c>
      <c r="D476" s="6" t="s">
        <v>1410</v>
      </c>
      <c r="E476" s="18">
        <v>1</v>
      </c>
      <c r="F476" s="14">
        <v>84.99</v>
      </c>
      <c r="G476" s="14">
        <v>84.99</v>
      </c>
      <c r="H476" s="7" t="s">
        <v>1051</v>
      </c>
      <c r="I476" s="7" t="s">
        <v>942</v>
      </c>
      <c r="J476" s="7" t="s">
        <v>962</v>
      </c>
      <c r="K476" s="7"/>
    </row>
    <row r="477" spans="1:11" ht="20.100000000000001" customHeight="1" x14ac:dyDescent="0.25">
      <c r="A477" s="12" t="s">
        <v>1362</v>
      </c>
      <c r="B477" s="13">
        <v>13571386</v>
      </c>
      <c r="C477" s="8">
        <v>73558822875</v>
      </c>
      <c r="D477" s="6" t="s">
        <v>608</v>
      </c>
      <c r="E477" s="18">
        <v>1</v>
      </c>
      <c r="F477" s="14">
        <v>99.99</v>
      </c>
      <c r="G477" s="14">
        <v>99.99</v>
      </c>
      <c r="H477" s="7"/>
      <c r="I477" s="7" t="s">
        <v>945</v>
      </c>
      <c r="J477" s="7" t="s">
        <v>1406</v>
      </c>
      <c r="K477" s="7"/>
    </row>
    <row r="478" spans="1:11" ht="20.100000000000001" customHeight="1" x14ac:dyDescent="0.25">
      <c r="A478" s="12" t="s">
        <v>1362</v>
      </c>
      <c r="B478" s="13">
        <v>13571386</v>
      </c>
      <c r="C478" s="8">
        <v>191984949406</v>
      </c>
      <c r="D478" s="6" t="s">
        <v>609</v>
      </c>
      <c r="E478" s="18">
        <v>1</v>
      </c>
      <c r="F478" s="14">
        <v>78.11</v>
      </c>
      <c r="G478" s="14">
        <v>78.11</v>
      </c>
      <c r="H478" s="7"/>
      <c r="I478" s="7" t="s">
        <v>1239</v>
      </c>
      <c r="J478" s="7" t="s">
        <v>1240</v>
      </c>
      <c r="K478" s="7"/>
    </row>
    <row r="479" spans="1:11" ht="20.100000000000001" customHeight="1" x14ac:dyDescent="0.25">
      <c r="A479" s="12" t="s">
        <v>1362</v>
      </c>
      <c r="B479" s="13">
        <v>13571386</v>
      </c>
      <c r="C479" s="8">
        <v>679610838107</v>
      </c>
      <c r="D479" s="6" t="s">
        <v>610</v>
      </c>
      <c r="E479" s="18">
        <v>1</v>
      </c>
      <c r="F479" s="14">
        <v>29.99</v>
      </c>
      <c r="G479" s="14">
        <v>29.99</v>
      </c>
      <c r="H479" s="7" t="s">
        <v>991</v>
      </c>
      <c r="I479" s="7" t="s">
        <v>945</v>
      </c>
      <c r="J479" s="7" t="s">
        <v>1055</v>
      </c>
      <c r="K479" s="7"/>
    </row>
    <row r="480" spans="1:11" ht="20.100000000000001" customHeight="1" x14ac:dyDescent="0.25">
      <c r="A480" s="12" t="s">
        <v>1362</v>
      </c>
      <c r="B480" s="13">
        <v>13571386</v>
      </c>
      <c r="C480" s="8">
        <v>46249700707</v>
      </c>
      <c r="D480" s="6" t="s">
        <v>611</v>
      </c>
      <c r="E480" s="18">
        <v>1</v>
      </c>
      <c r="F480" s="14">
        <v>99.99</v>
      </c>
      <c r="G480" s="14">
        <v>99.99</v>
      </c>
      <c r="H480" s="7"/>
      <c r="I480" s="7" t="s">
        <v>1003</v>
      </c>
      <c r="J480" s="7" t="s">
        <v>1075</v>
      </c>
      <c r="K480" s="7"/>
    </row>
    <row r="481" spans="1:11" ht="20.100000000000001" customHeight="1" x14ac:dyDescent="0.25">
      <c r="A481" s="12" t="s">
        <v>1362</v>
      </c>
      <c r="B481" s="13">
        <v>13571386</v>
      </c>
      <c r="C481" s="8">
        <v>735732639623</v>
      </c>
      <c r="D481" s="6" t="s">
        <v>612</v>
      </c>
      <c r="E481" s="18">
        <v>1</v>
      </c>
      <c r="F481" s="14">
        <v>9.99</v>
      </c>
      <c r="G481" s="14">
        <v>9.99</v>
      </c>
      <c r="H481" s="7" t="s">
        <v>944</v>
      </c>
      <c r="I481" s="7" t="s">
        <v>947</v>
      </c>
      <c r="J481" s="7" t="s">
        <v>1359</v>
      </c>
      <c r="K481" s="7"/>
    </row>
    <row r="482" spans="1:11" ht="20.100000000000001" customHeight="1" x14ac:dyDescent="0.25">
      <c r="A482" s="12" t="s">
        <v>1362</v>
      </c>
      <c r="B482" s="13">
        <v>13571386</v>
      </c>
      <c r="C482" s="8">
        <v>733002823635</v>
      </c>
      <c r="D482" s="6" t="s">
        <v>613</v>
      </c>
      <c r="E482" s="18">
        <v>1</v>
      </c>
      <c r="F482" s="14">
        <v>41.99</v>
      </c>
      <c r="G482" s="14">
        <v>41.99</v>
      </c>
      <c r="H482" s="7" t="s">
        <v>984</v>
      </c>
      <c r="I482" s="7" t="s">
        <v>1011</v>
      </c>
      <c r="J482" s="7" t="s">
        <v>1042</v>
      </c>
      <c r="K482" s="7"/>
    </row>
    <row r="483" spans="1:11" ht="20.100000000000001" customHeight="1" x14ac:dyDescent="0.25">
      <c r="A483" s="12" t="s">
        <v>1362</v>
      </c>
      <c r="B483" s="13">
        <v>13571386</v>
      </c>
      <c r="C483" s="8">
        <v>191790053656</v>
      </c>
      <c r="D483" s="6" t="s">
        <v>614</v>
      </c>
      <c r="E483" s="18">
        <v>1</v>
      </c>
      <c r="F483" s="14">
        <v>49.99</v>
      </c>
      <c r="G483" s="14">
        <v>49.99</v>
      </c>
      <c r="H483" s="7" t="s">
        <v>941</v>
      </c>
      <c r="I483" s="7" t="s">
        <v>939</v>
      </c>
      <c r="J483" s="7" t="s">
        <v>986</v>
      </c>
      <c r="K483" s="7"/>
    </row>
    <row r="484" spans="1:11" ht="20.100000000000001" customHeight="1" x14ac:dyDescent="0.25">
      <c r="A484" s="12" t="s">
        <v>1362</v>
      </c>
      <c r="B484" s="13">
        <v>13571386</v>
      </c>
      <c r="C484" s="8">
        <v>628961004464</v>
      </c>
      <c r="D484" s="6" t="s">
        <v>615</v>
      </c>
      <c r="E484" s="18">
        <v>1</v>
      </c>
      <c r="F484" s="14">
        <v>69.989999999999995</v>
      </c>
      <c r="G484" s="14">
        <v>69.989999999999995</v>
      </c>
      <c r="H484" s="7" t="s">
        <v>976</v>
      </c>
      <c r="I484" s="7" t="s">
        <v>939</v>
      </c>
      <c r="J484" s="7" t="s">
        <v>1150</v>
      </c>
      <c r="K484" s="7"/>
    </row>
    <row r="485" spans="1:11" ht="20.100000000000001" customHeight="1" x14ac:dyDescent="0.25">
      <c r="A485" s="12" t="s">
        <v>1362</v>
      </c>
      <c r="B485" s="13">
        <v>13571386</v>
      </c>
      <c r="C485" s="8">
        <v>734737480384</v>
      </c>
      <c r="D485" s="6" t="s">
        <v>616</v>
      </c>
      <c r="E485" s="18">
        <v>1</v>
      </c>
      <c r="F485" s="14">
        <v>54.99</v>
      </c>
      <c r="G485" s="14">
        <v>54.99</v>
      </c>
      <c r="H485" s="7" t="s">
        <v>950</v>
      </c>
      <c r="I485" s="7" t="s">
        <v>945</v>
      </c>
      <c r="J485" s="7" t="s">
        <v>974</v>
      </c>
      <c r="K485" s="7"/>
    </row>
    <row r="486" spans="1:11" ht="20.100000000000001" customHeight="1" x14ac:dyDescent="0.25">
      <c r="A486" s="12" t="s">
        <v>1362</v>
      </c>
      <c r="B486" s="13">
        <v>13571386</v>
      </c>
      <c r="C486" s="8">
        <v>789323376985</v>
      </c>
      <c r="D486" s="6" t="s">
        <v>617</v>
      </c>
      <c r="E486" s="18">
        <v>2</v>
      </c>
      <c r="F486" s="14">
        <v>67.989999999999995</v>
      </c>
      <c r="G486" s="14">
        <v>135.97999999999999</v>
      </c>
      <c r="H486" s="7" t="s">
        <v>938</v>
      </c>
      <c r="I486" s="7" t="s">
        <v>947</v>
      </c>
      <c r="J486" s="7" t="s">
        <v>1140</v>
      </c>
      <c r="K486" s="7"/>
    </row>
    <row r="487" spans="1:11" ht="20.100000000000001" customHeight="1" x14ac:dyDescent="0.25">
      <c r="A487" s="12" t="s">
        <v>1362</v>
      </c>
      <c r="B487" s="13">
        <v>13571386</v>
      </c>
      <c r="C487" s="8">
        <v>679610838145</v>
      </c>
      <c r="D487" s="6" t="s">
        <v>618</v>
      </c>
      <c r="E487" s="18">
        <v>6</v>
      </c>
      <c r="F487" s="14">
        <v>29.99</v>
      </c>
      <c r="G487" s="14">
        <v>179.94</v>
      </c>
      <c r="H487" s="7" t="s">
        <v>991</v>
      </c>
      <c r="I487" s="7" t="s">
        <v>945</v>
      </c>
      <c r="J487" s="7" t="s">
        <v>1055</v>
      </c>
      <c r="K487" s="7"/>
    </row>
    <row r="488" spans="1:11" ht="20.100000000000001" customHeight="1" x14ac:dyDescent="0.25">
      <c r="A488" s="12" t="s">
        <v>1362</v>
      </c>
      <c r="B488" s="13">
        <v>13571386</v>
      </c>
      <c r="C488" s="8">
        <v>733004179358</v>
      </c>
      <c r="D488" s="6" t="s">
        <v>619</v>
      </c>
      <c r="E488" s="18">
        <v>1</v>
      </c>
      <c r="F488" s="14">
        <v>34.99</v>
      </c>
      <c r="G488" s="14">
        <v>34.99</v>
      </c>
      <c r="H488" s="7" t="s">
        <v>1023</v>
      </c>
      <c r="I488" s="7" t="s">
        <v>971</v>
      </c>
      <c r="J488" s="7" t="s">
        <v>972</v>
      </c>
      <c r="K488" s="7"/>
    </row>
    <row r="489" spans="1:11" ht="20.100000000000001" customHeight="1" x14ac:dyDescent="0.25">
      <c r="A489" s="12" t="s">
        <v>1362</v>
      </c>
      <c r="B489" s="13">
        <v>13571386</v>
      </c>
      <c r="C489" s="8">
        <v>733003895600</v>
      </c>
      <c r="D489" s="6" t="s">
        <v>620</v>
      </c>
      <c r="E489" s="18">
        <v>1</v>
      </c>
      <c r="F489" s="14">
        <v>39.99</v>
      </c>
      <c r="G489" s="14">
        <v>39.99</v>
      </c>
      <c r="H489" s="7" t="s">
        <v>1068</v>
      </c>
      <c r="I489" s="7" t="s">
        <v>1332</v>
      </c>
      <c r="J489" s="7" t="s">
        <v>1353</v>
      </c>
      <c r="K489" s="7"/>
    </row>
    <row r="490" spans="1:11" ht="20.100000000000001" customHeight="1" x14ac:dyDescent="0.25">
      <c r="A490" s="12" t="s">
        <v>1362</v>
      </c>
      <c r="B490" s="13">
        <v>13571386</v>
      </c>
      <c r="C490" s="8">
        <v>646760044870</v>
      </c>
      <c r="D490" s="6" t="s">
        <v>621</v>
      </c>
      <c r="E490" s="18">
        <v>3</v>
      </c>
      <c r="F490" s="14">
        <v>35.99</v>
      </c>
      <c r="G490" s="14">
        <v>107.97</v>
      </c>
      <c r="H490" s="7" t="s">
        <v>1044</v>
      </c>
      <c r="I490" s="7" t="s">
        <v>947</v>
      </c>
      <c r="J490" s="7" t="s">
        <v>1136</v>
      </c>
      <c r="K490" s="7"/>
    </row>
    <row r="491" spans="1:11" ht="20.100000000000001" customHeight="1" x14ac:dyDescent="0.25">
      <c r="A491" s="12" t="s">
        <v>1362</v>
      </c>
      <c r="B491" s="13">
        <v>13571386</v>
      </c>
      <c r="C491" s="8">
        <v>883893734425</v>
      </c>
      <c r="D491" s="6" t="s">
        <v>622</v>
      </c>
      <c r="E491" s="18">
        <v>1</v>
      </c>
      <c r="F491" s="14">
        <v>24.99</v>
      </c>
      <c r="G491" s="14">
        <v>24.99</v>
      </c>
      <c r="H491" s="7" t="s">
        <v>941</v>
      </c>
      <c r="I491" s="7" t="s">
        <v>1003</v>
      </c>
      <c r="J491" s="7" t="s">
        <v>1053</v>
      </c>
      <c r="K491" s="7"/>
    </row>
    <row r="492" spans="1:11" ht="20.100000000000001" customHeight="1" x14ac:dyDescent="0.25">
      <c r="A492" s="12" t="s">
        <v>1362</v>
      </c>
      <c r="B492" s="13">
        <v>13571386</v>
      </c>
      <c r="C492" s="8">
        <v>86569504678</v>
      </c>
      <c r="D492" s="6" t="s">
        <v>623</v>
      </c>
      <c r="E492" s="18">
        <v>1</v>
      </c>
      <c r="F492" s="14">
        <v>10.99</v>
      </c>
      <c r="G492" s="14">
        <v>10.99</v>
      </c>
      <c r="H492" s="7" t="s">
        <v>950</v>
      </c>
      <c r="I492" s="7" t="s">
        <v>1033</v>
      </c>
      <c r="J492" s="7" t="s">
        <v>955</v>
      </c>
      <c r="K492" s="7"/>
    </row>
    <row r="493" spans="1:11" ht="20.100000000000001" customHeight="1" x14ac:dyDescent="0.25">
      <c r="A493" s="12" t="s">
        <v>1362</v>
      </c>
      <c r="B493" s="13">
        <v>13571386</v>
      </c>
      <c r="C493" s="8">
        <v>889048400177</v>
      </c>
      <c r="D493" s="6" t="s">
        <v>624</v>
      </c>
      <c r="E493" s="18">
        <v>2</v>
      </c>
      <c r="F493" s="14">
        <v>68.989999999999995</v>
      </c>
      <c r="G493" s="14">
        <v>137.97999999999999</v>
      </c>
      <c r="H493" s="7" t="s">
        <v>1013</v>
      </c>
      <c r="I493" s="7" t="s">
        <v>947</v>
      </c>
      <c r="J493" s="7" t="s">
        <v>625</v>
      </c>
      <c r="K493" s="7"/>
    </row>
    <row r="494" spans="1:11" ht="20.100000000000001" customHeight="1" x14ac:dyDescent="0.25">
      <c r="A494" s="12" t="s">
        <v>1362</v>
      </c>
      <c r="B494" s="13">
        <v>13571386</v>
      </c>
      <c r="C494" s="8">
        <v>733004298196</v>
      </c>
      <c r="D494" s="6" t="s">
        <v>626</v>
      </c>
      <c r="E494" s="18">
        <v>1</v>
      </c>
      <c r="F494" s="14">
        <v>29.99</v>
      </c>
      <c r="G494" s="14">
        <v>29.99</v>
      </c>
      <c r="H494" s="7" t="s">
        <v>984</v>
      </c>
      <c r="I494" s="7" t="s">
        <v>971</v>
      </c>
      <c r="J494" s="7" t="s">
        <v>1125</v>
      </c>
      <c r="K494" s="7"/>
    </row>
    <row r="495" spans="1:11" ht="20.100000000000001" customHeight="1" x14ac:dyDescent="0.25">
      <c r="A495" s="12" t="s">
        <v>1362</v>
      </c>
      <c r="B495" s="13">
        <v>13571386</v>
      </c>
      <c r="C495" s="8">
        <v>887822184534</v>
      </c>
      <c r="D495" s="6" t="s">
        <v>627</v>
      </c>
      <c r="E495" s="18">
        <v>1</v>
      </c>
      <c r="F495" s="14">
        <v>78.11</v>
      </c>
      <c r="G495" s="14">
        <v>78.11</v>
      </c>
      <c r="H495" s="7"/>
      <c r="I495" s="7" t="s">
        <v>558</v>
      </c>
      <c r="J495" s="7" t="s">
        <v>559</v>
      </c>
      <c r="K495" s="7"/>
    </row>
    <row r="496" spans="1:11" ht="20.100000000000001" customHeight="1" x14ac:dyDescent="0.25">
      <c r="A496" s="12" t="s">
        <v>1362</v>
      </c>
      <c r="B496" s="13">
        <v>13571386</v>
      </c>
      <c r="C496" s="8">
        <v>651896660245</v>
      </c>
      <c r="D496" s="6" t="s">
        <v>628</v>
      </c>
      <c r="E496" s="18">
        <v>1</v>
      </c>
      <c r="F496" s="14">
        <v>24.99</v>
      </c>
      <c r="G496" s="14">
        <v>24.99</v>
      </c>
      <c r="H496" s="7" t="s">
        <v>984</v>
      </c>
      <c r="I496" s="7" t="s">
        <v>947</v>
      </c>
      <c r="J496" s="7" t="s">
        <v>629</v>
      </c>
      <c r="K496" s="7"/>
    </row>
    <row r="497" spans="1:11" ht="20.100000000000001" customHeight="1" x14ac:dyDescent="0.25">
      <c r="A497" s="12" t="s">
        <v>1362</v>
      </c>
      <c r="B497" s="13">
        <v>13571386</v>
      </c>
      <c r="C497" s="8">
        <v>733003877934</v>
      </c>
      <c r="D497" s="6" t="s">
        <v>630</v>
      </c>
      <c r="E497" s="18">
        <v>1</v>
      </c>
      <c r="F497" s="14">
        <v>29.99</v>
      </c>
      <c r="G497" s="14">
        <v>29.99</v>
      </c>
      <c r="H497" s="7" t="s">
        <v>1013</v>
      </c>
      <c r="I497" s="7" t="s">
        <v>1332</v>
      </c>
      <c r="J497" s="7" t="s">
        <v>1353</v>
      </c>
      <c r="K497" s="7"/>
    </row>
    <row r="498" spans="1:11" ht="20.100000000000001" customHeight="1" x14ac:dyDescent="0.25">
      <c r="A498"/>
      <c r="B498"/>
      <c r="D498"/>
      <c r="E498" s="15">
        <f>SUM(E2:E497)</f>
        <v>698</v>
      </c>
      <c r="F498"/>
      <c r="G498" s="20">
        <f>SUM(G2:G497)</f>
        <v>47854.100000000042</v>
      </c>
      <c r="H498"/>
      <c r="I498"/>
      <c r="J498"/>
      <c r="K498"/>
    </row>
    <row r="499" spans="1:11" ht="20.100000000000001" customHeight="1" x14ac:dyDescent="0.25">
      <c r="A499"/>
      <c r="B499"/>
      <c r="D499"/>
      <c r="E499" s="15"/>
      <c r="F499"/>
      <c r="G499"/>
      <c r="H499"/>
      <c r="I499"/>
      <c r="J499"/>
      <c r="K499"/>
    </row>
  </sheetData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43"/>
  <sheetViews>
    <sheetView topLeftCell="A416" workbookViewId="0">
      <selection activeCell="D6" sqref="D6"/>
    </sheetView>
  </sheetViews>
  <sheetFormatPr defaultRowHeight="20.100000000000001" customHeight="1" x14ac:dyDescent="0.25"/>
  <cols>
    <col min="1" max="1" width="12.85546875" bestFit="1" customWidth="1"/>
    <col min="2" max="2" width="9" bestFit="1" customWidth="1"/>
    <col min="3" max="3" width="14.140625" bestFit="1" customWidth="1"/>
    <col min="4" max="4" width="69.85546875" bestFit="1" customWidth="1"/>
    <col min="5" max="5" width="12.42578125" style="15" bestFit="1" customWidth="1"/>
    <col min="6" max="6" width="15" bestFit="1" customWidth="1"/>
    <col min="7" max="7" width="21" bestFit="1" customWidth="1"/>
    <col min="8" max="8" width="13.140625" bestFit="1" customWidth="1"/>
    <col min="9" max="9" width="17.5703125" bestFit="1" customWidth="1"/>
    <col min="10" max="10" width="39.28515625" bestFit="1" customWidth="1"/>
    <col min="11" max="11" width="48.140625" bestFit="1" customWidth="1"/>
    <col min="12" max="12" width="64.28515625" customWidth="1"/>
  </cols>
  <sheetData>
    <row r="1" spans="1:12" ht="20.100000000000001" customHeight="1" x14ac:dyDescent="0.25">
      <c r="A1" s="19" t="s">
        <v>1293</v>
      </c>
      <c r="B1" s="19" t="s">
        <v>1294</v>
      </c>
      <c r="C1" s="19" t="s">
        <v>930</v>
      </c>
      <c r="D1" s="19" t="s">
        <v>931</v>
      </c>
      <c r="E1" s="19" t="s">
        <v>932</v>
      </c>
      <c r="F1" s="19" t="s">
        <v>1295</v>
      </c>
      <c r="G1" s="19" t="s">
        <v>933</v>
      </c>
      <c r="H1" s="19" t="s">
        <v>934</v>
      </c>
      <c r="I1" s="19" t="s">
        <v>935</v>
      </c>
      <c r="J1" s="19" t="s">
        <v>936</v>
      </c>
      <c r="K1" s="19" t="s">
        <v>937</v>
      </c>
      <c r="L1" s="5"/>
    </row>
    <row r="2" spans="1:12" ht="20.100000000000001" customHeight="1" x14ac:dyDescent="0.25">
      <c r="A2" s="12" t="s">
        <v>1362</v>
      </c>
      <c r="B2" s="13">
        <v>13768424</v>
      </c>
      <c r="C2" s="8">
        <v>13964294705</v>
      </c>
      <c r="D2" s="6" t="s">
        <v>1411</v>
      </c>
      <c r="E2" s="18">
        <v>2</v>
      </c>
      <c r="F2" s="14">
        <v>60.99</v>
      </c>
      <c r="G2" s="14">
        <v>121.98</v>
      </c>
      <c r="H2" s="7" t="s">
        <v>941</v>
      </c>
      <c r="I2" s="7" t="s">
        <v>942</v>
      </c>
      <c r="J2" s="7" t="s">
        <v>943</v>
      </c>
      <c r="K2" s="7" t="str">
        <f>HYPERLINK("http://slimages.macys.com/is/image/MCY/11798090 ")</f>
        <v xml:space="preserve">http://slimages.macys.com/is/image/MCY/11798090 </v>
      </c>
      <c r="L2" s="9"/>
    </row>
    <row r="3" spans="1:12" ht="20.100000000000001" customHeight="1" x14ac:dyDescent="0.25">
      <c r="A3" s="12" t="s">
        <v>1362</v>
      </c>
      <c r="B3" s="13">
        <v>13768424</v>
      </c>
      <c r="C3" s="8">
        <v>21864377923</v>
      </c>
      <c r="D3" s="6" t="s">
        <v>631</v>
      </c>
      <c r="E3" s="18">
        <v>1</v>
      </c>
      <c r="F3" s="14">
        <v>44.99</v>
      </c>
      <c r="G3" s="14">
        <v>44.99</v>
      </c>
      <c r="H3" s="7" t="s">
        <v>1168</v>
      </c>
      <c r="I3" s="7" t="s">
        <v>958</v>
      </c>
      <c r="J3" s="7" t="s">
        <v>1196</v>
      </c>
      <c r="K3" s="7" t="str">
        <f>HYPERLINK("http://slimages.macys.com/is/image/MCY/9885873 ")</f>
        <v xml:space="preserve">http://slimages.macys.com/is/image/MCY/9885873 </v>
      </c>
      <c r="L3" s="9"/>
    </row>
    <row r="4" spans="1:12" ht="20.100000000000001" customHeight="1" x14ac:dyDescent="0.25">
      <c r="A4" s="12" t="s">
        <v>1362</v>
      </c>
      <c r="B4" s="13">
        <v>13768424</v>
      </c>
      <c r="C4" s="8">
        <v>22415211024</v>
      </c>
      <c r="D4" s="6" t="s">
        <v>632</v>
      </c>
      <c r="E4" s="18">
        <v>1</v>
      </c>
      <c r="F4" s="14">
        <v>21.99</v>
      </c>
      <c r="G4" s="14">
        <v>21.99</v>
      </c>
      <c r="H4" s="7" t="s">
        <v>941</v>
      </c>
      <c r="I4" s="7" t="s">
        <v>942</v>
      </c>
      <c r="J4" s="7" t="s">
        <v>1039</v>
      </c>
      <c r="K4" s="7" t="str">
        <f>HYPERLINK("http://slimages.macys.com/is/image/MCY/17673737 ")</f>
        <v xml:space="preserve">http://slimages.macys.com/is/image/MCY/17673737 </v>
      </c>
      <c r="L4" s="9"/>
    </row>
    <row r="5" spans="1:12" ht="20.100000000000001" customHeight="1" x14ac:dyDescent="0.25">
      <c r="A5" s="12" t="s">
        <v>1362</v>
      </c>
      <c r="B5" s="13">
        <v>13768424</v>
      </c>
      <c r="C5" s="8">
        <v>22415564144</v>
      </c>
      <c r="D5" s="6" t="s">
        <v>633</v>
      </c>
      <c r="E5" s="18">
        <v>1</v>
      </c>
      <c r="F5" s="14">
        <v>75.989999999999995</v>
      </c>
      <c r="G5" s="14">
        <v>75.989999999999995</v>
      </c>
      <c r="H5" s="7" t="s">
        <v>941</v>
      </c>
      <c r="I5" s="7" t="s">
        <v>942</v>
      </c>
      <c r="J5" s="7" t="s">
        <v>1039</v>
      </c>
      <c r="K5" s="7" t="str">
        <f>HYPERLINK("http://slimages.macys.com/is/image/MCY/14370980 ")</f>
        <v xml:space="preserve">http://slimages.macys.com/is/image/MCY/14370980 </v>
      </c>
      <c r="L5" s="9"/>
    </row>
    <row r="6" spans="1:12" ht="20.100000000000001" customHeight="1" x14ac:dyDescent="0.25">
      <c r="A6" s="12" t="s">
        <v>1362</v>
      </c>
      <c r="B6" s="13">
        <v>13768424</v>
      </c>
      <c r="C6" s="8">
        <v>22415616423</v>
      </c>
      <c r="D6" s="6" t="s">
        <v>634</v>
      </c>
      <c r="E6" s="18">
        <v>1</v>
      </c>
      <c r="F6" s="14">
        <v>37.99</v>
      </c>
      <c r="G6" s="14">
        <v>37.99</v>
      </c>
      <c r="H6" s="7" t="s">
        <v>941</v>
      </c>
      <c r="I6" s="7" t="s">
        <v>942</v>
      </c>
      <c r="J6" s="7" t="s">
        <v>1039</v>
      </c>
      <c r="K6" s="7" t="str">
        <f>HYPERLINK("http://slimages.macys.com/is/image/MCY/14371012 ")</f>
        <v xml:space="preserve">http://slimages.macys.com/is/image/MCY/14371012 </v>
      </c>
      <c r="L6" s="9"/>
    </row>
    <row r="7" spans="1:12" ht="20.100000000000001" customHeight="1" x14ac:dyDescent="0.25">
      <c r="A7" s="12" t="s">
        <v>1362</v>
      </c>
      <c r="B7" s="13">
        <v>13768424</v>
      </c>
      <c r="C7" s="8">
        <v>25695978748</v>
      </c>
      <c r="D7" s="6" t="s">
        <v>635</v>
      </c>
      <c r="E7" s="18">
        <v>1</v>
      </c>
      <c r="F7" s="14">
        <v>84.99</v>
      </c>
      <c r="G7" s="14">
        <v>84.99</v>
      </c>
      <c r="H7" s="7" t="s">
        <v>941</v>
      </c>
      <c r="I7" s="7" t="s">
        <v>961</v>
      </c>
      <c r="J7" s="7" t="s">
        <v>1459</v>
      </c>
      <c r="K7" s="7" t="str">
        <f>HYPERLINK("http://slimages.macys.com/is/image/MCY/18444881 ")</f>
        <v xml:space="preserve">http://slimages.macys.com/is/image/MCY/18444881 </v>
      </c>
      <c r="L7" s="9"/>
    </row>
    <row r="8" spans="1:12" ht="20.100000000000001" customHeight="1" x14ac:dyDescent="0.25">
      <c r="A8" s="12" t="s">
        <v>1362</v>
      </c>
      <c r="B8" s="13">
        <v>13768424</v>
      </c>
      <c r="C8" s="8">
        <v>26865854176</v>
      </c>
      <c r="D8" s="6" t="s">
        <v>636</v>
      </c>
      <c r="E8" s="18">
        <v>1</v>
      </c>
      <c r="F8" s="14">
        <v>48.99</v>
      </c>
      <c r="G8" s="14">
        <v>48.99</v>
      </c>
      <c r="H8" s="7" t="s">
        <v>1044</v>
      </c>
      <c r="I8" s="7" t="s">
        <v>947</v>
      </c>
      <c r="J8" s="7" t="s">
        <v>977</v>
      </c>
      <c r="K8" s="7" t="str">
        <f>HYPERLINK("http://slimages.macys.com/is/image/MCY/9168734 ")</f>
        <v xml:space="preserve">http://slimages.macys.com/is/image/MCY/9168734 </v>
      </c>
      <c r="L8" s="9"/>
    </row>
    <row r="9" spans="1:12" ht="20.100000000000001" customHeight="1" x14ac:dyDescent="0.25">
      <c r="A9" s="12" t="s">
        <v>1362</v>
      </c>
      <c r="B9" s="13">
        <v>13768424</v>
      </c>
      <c r="C9" s="8">
        <v>26865868432</v>
      </c>
      <c r="D9" s="6" t="s">
        <v>1463</v>
      </c>
      <c r="E9" s="18">
        <v>1</v>
      </c>
      <c r="F9" s="14">
        <v>36.99</v>
      </c>
      <c r="G9" s="14">
        <v>36.99</v>
      </c>
      <c r="H9" s="7" t="s">
        <v>1036</v>
      </c>
      <c r="I9" s="7" t="s">
        <v>947</v>
      </c>
      <c r="J9" s="7" t="s">
        <v>977</v>
      </c>
      <c r="K9" s="7" t="str">
        <f>HYPERLINK("http://slimages.macys.com/is/image/MCY/9175647 ")</f>
        <v xml:space="preserve">http://slimages.macys.com/is/image/MCY/9175647 </v>
      </c>
      <c r="L9" s="9"/>
    </row>
    <row r="10" spans="1:12" ht="20.100000000000001" customHeight="1" x14ac:dyDescent="0.25">
      <c r="A10" s="12" t="s">
        <v>1362</v>
      </c>
      <c r="B10" s="13">
        <v>13768424</v>
      </c>
      <c r="C10" s="8">
        <v>26865868432</v>
      </c>
      <c r="D10" s="6" t="s">
        <v>1463</v>
      </c>
      <c r="E10" s="18">
        <v>1</v>
      </c>
      <c r="F10" s="14">
        <v>36.99</v>
      </c>
      <c r="G10" s="14">
        <v>36.99</v>
      </c>
      <c r="H10" s="7" t="s">
        <v>1036</v>
      </c>
      <c r="I10" s="7" t="s">
        <v>947</v>
      </c>
      <c r="J10" s="7" t="s">
        <v>977</v>
      </c>
      <c r="K10" s="7" t="str">
        <f>HYPERLINK("http://slimages.macys.com/is/image/MCY/9175647 ")</f>
        <v xml:space="preserve">http://slimages.macys.com/is/image/MCY/9175647 </v>
      </c>
      <c r="L10" s="9"/>
    </row>
    <row r="11" spans="1:12" ht="20.100000000000001" customHeight="1" x14ac:dyDescent="0.25">
      <c r="A11" s="12" t="s">
        <v>1362</v>
      </c>
      <c r="B11" s="13">
        <v>13768424</v>
      </c>
      <c r="C11" s="8">
        <v>26865901511</v>
      </c>
      <c r="D11" s="6" t="s">
        <v>637</v>
      </c>
      <c r="E11" s="18">
        <v>2</v>
      </c>
      <c r="F11" s="14">
        <v>35.99</v>
      </c>
      <c r="G11" s="14">
        <v>71.98</v>
      </c>
      <c r="H11" s="7" t="s">
        <v>950</v>
      </c>
      <c r="I11" s="7" t="s">
        <v>947</v>
      </c>
      <c r="J11" s="7" t="s">
        <v>977</v>
      </c>
      <c r="K11" s="7" t="str">
        <f>HYPERLINK("http://slimages.macys.com/is/image/MCY/3881734 ")</f>
        <v xml:space="preserve">http://slimages.macys.com/is/image/MCY/3881734 </v>
      </c>
      <c r="L11" s="9"/>
    </row>
    <row r="12" spans="1:12" ht="20.100000000000001" customHeight="1" x14ac:dyDescent="0.25">
      <c r="A12" s="12" t="s">
        <v>1362</v>
      </c>
      <c r="B12" s="13">
        <v>13768424</v>
      </c>
      <c r="C12" s="8">
        <v>26865919592</v>
      </c>
      <c r="D12" s="6" t="s">
        <v>638</v>
      </c>
      <c r="E12" s="18">
        <v>1</v>
      </c>
      <c r="F12" s="14">
        <v>37.99</v>
      </c>
      <c r="G12" s="14">
        <v>37.99</v>
      </c>
      <c r="H12" s="7" t="s">
        <v>1036</v>
      </c>
      <c r="I12" s="7" t="s">
        <v>947</v>
      </c>
      <c r="J12" s="7" t="s">
        <v>977</v>
      </c>
      <c r="K12" s="7" t="str">
        <f>HYPERLINK("http://slimages.macys.com/is/image/MCY/9168183 ")</f>
        <v xml:space="preserve">http://slimages.macys.com/is/image/MCY/9168183 </v>
      </c>
      <c r="L12" s="9"/>
    </row>
    <row r="13" spans="1:12" ht="20.100000000000001" customHeight="1" x14ac:dyDescent="0.25">
      <c r="A13" s="12" t="s">
        <v>1362</v>
      </c>
      <c r="B13" s="13">
        <v>13768424</v>
      </c>
      <c r="C13" s="8">
        <v>26865966633</v>
      </c>
      <c r="D13" s="6" t="s">
        <v>639</v>
      </c>
      <c r="E13" s="18">
        <v>1</v>
      </c>
      <c r="F13" s="14">
        <v>29.99</v>
      </c>
      <c r="G13" s="14">
        <v>29.99</v>
      </c>
      <c r="H13" s="7" t="s">
        <v>950</v>
      </c>
      <c r="I13" s="7" t="s">
        <v>947</v>
      </c>
      <c r="J13" s="7" t="s">
        <v>977</v>
      </c>
      <c r="K13" s="7" t="str">
        <f>HYPERLINK("http://slimages.macys.com/is/image/MCY/9455323 ")</f>
        <v xml:space="preserve">http://slimages.macys.com/is/image/MCY/9455323 </v>
      </c>
      <c r="L13" s="9"/>
    </row>
    <row r="14" spans="1:12" ht="20.100000000000001" customHeight="1" x14ac:dyDescent="0.25">
      <c r="A14" s="12" t="s">
        <v>1362</v>
      </c>
      <c r="B14" s="13">
        <v>13768424</v>
      </c>
      <c r="C14" s="8">
        <v>26865968118</v>
      </c>
      <c r="D14" s="6" t="s">
        <v>1297</v>
      </c>
      <c r="E14" s="18">
        <v>1</v>
      </c>
      <c r="F14" s="14">
        <v>45.99</v>
      </c>
      <c r="G14" s="14">
        <v>45.99</v>
      </c>
      <c r="H14" s="7" t="s">
        <v>1036</v>
      </c>
      <c r="I14" s="7" t="s">
        <v>947</v>
      </c>
      <c r="J14" s="7" t="s">
        <v>977</v>
      </c>
      <c r="K14" s="7" t="str">
        <f>HYPERLINK("http://slimages.macys.com/is/image/MCY/12264831 ")</f>
        <v xml:space="preserve">http://slimages.macys.com/is/image/MCY/12264831 </v>
      </c>
      <c r="L14" s="9"/>
    </row>
    <row r="15" spans="1:12" ht="20.100000000000001" customHeight="1" x14ac:dyDescent="0.25">
      <c r="A15" s="12" t="s">
        <v>1362</v>
      </c>
      <c r="B15" s="13">
        <v>13768424</v>
      </c>
      <c r="C15" s="8">
        <v>29927462647</v>
      </c>
      <c r="D15" s="6" t="s">
        <v>640</v>
      </c>
      <c r="E15" s="18">
        <v>2</v>
      </c>
      <c r="F15" s="14">
        <v>16.989999999999998</v>
      </c>
      <c r="G15" s="14">
        <v>33.979999999999997</v>
      </c>
      <c r="H15" s="7" t="s">
        <v>1001</v>
      </c>
      <c r="I15" s="7" t="s">
        <v>947</v>
      </c>
      <c r="J15" s="7" t="s">
        <v>982</v>
      </c>
      <c r="K15" s="7" t="str">
        <f>HYPERLINK("http://slimages.macys.com/is/image/MCY/8536857 ")</f>
        <v xml:space="preserve">http://slimages.macys.com/is/image/MCY/8536857 </v>
      </c>
      <c r="L15" s="9"/>
    </row>
    <row r="16" spans="1:12" ht="20.100000000000001" customHeight="1" x14ac:dyDescent="0.25">
      <c r="A16" s="12" t="s">
        <v>1362</v>
      </c>
      <c r="B16" s="13">
        <v>13768424</v>
      </c>
      <c r="C16" s="8">
        <v>29927509816</v>
      </c>
      <c r="D16" s="6" t="s">
        <v>641</v>
      </c>
      <c r="E16" s="18">
        <v>1</v>
      </c>
      <c r="F16" s="14">
        <v>11.99</v>
      </c>
      <c r="G16" s="14">
        <v>11.99</v>
      </c>
      <c r="H16" s="7" t="s">
        <v>1363</v>
      </c>
      <c r="I16" s="7" t="s">
        <v>947</v>
      </c>
      <c r="J16" s="7" t="s">
        <v>982</v>
      </c>
      <c r="K16" s="7" t="str">
        <f>HYPERLINK("http://slimages.macys.com/is/image/MCY/8745259 ")</f>
        <v xml:space="preserve">http://slimages.macys.com/is/image/MCY/8745259 </v>
      </c>
      <c r="L16" s="9"/>
    </row>
    <row r="17" spans="1:12" ht="20.100000000000001" customHeight="1" x14ac:dyDescent="0.25">
      <c r="A17" s="12" t="s">
        <v>1362</v>
      </c>
      <c r="B17" s="13">
        <v>13768424</v>
      </c>
      <c r="C17" s="8">
        <v>29927553994</v>
      </c>
      <c r="D17" s="6" t="s">
        <v>642</v>
      </c>
      <c r="E17" s="18">
        <v>1</v>
      </c>
      <c r="F17" s="14">
        <v>31.99</v>
      </c>
      <c r="G17" s="14">
        <v>31.99</v>
      </c>
      <c r="H17" s="7" t="s">
        <v>944</v>
      </c>
      <c r="I17" s="7" t="s">
        <v>947</v>
      </c>
      <c r="J17" s="7" t="s">
        <v>982</v>
      </c>
      <c r="K17" s="7" t="str">
        <f>HYPERLINK("http://slimages.macys.com/is/image/MCY/9644106 ")</f>
        <v xml:space="preserve">http://slimages.macys.com/is/image/MCY/9644106 </v>
      </c>
      <c r="L17" s="9"/>
    </row>
    <row r="18" spans="1:12" ht="20.100000000000001" customHeight="1" x14ac:dyDescent="0.25">
      <c r="A18" s="12" t="s">
        <v>1362</v>
      </c>
      <c r="B18" s="13">
        <v>13768424</v>
      </c>
      <c r="C18" s="8">
        <v>29927563030</v>
      </c>
      <c r="D18" s="6" t="s">
        <v>643</v>
      </c>
      <c r="E18" s="18">
        <v>1</v>
      </c>
      <c r="F18" s="14">
        <v>14.99</v>
      </c>
      <c r="G18" s="14">
        <v>14.99</v>
      </c>
      <c r="H18" s="7" t="s">
        <v>1001</v>
      </c>
      <c r="I18" s="7" t="s">
        <v>947</v>
      </c>
      <c r="J18" s="7" t="s">
        <v>982</v>
      </c>
      <c r="K18" s="7" t="str">
        <f>HYPERLINK("http://slimages.macys.com/is/image/MCY/9644198 ")</f>
        <v xml:space="preserve">http://slimages.macys.com/is/image/MCY/9644198 </v>
      </c>
      <c r="L18" s="9"/>
    </row>
    <row r="19" spans="1:12" ht="20.100000000000001" customHeight="1" x14ac:dyDescent="0.25">
      <c r="A19" s="12" t="s">
        <v>1362</v>
      </c>
      <c r="B19" s="13">
        <v>13768424</v>
      </c>
      <c r="C19" s="8">
        <v>29927577891</v>
      </c>
      <c r="D19" s="6" t="s">
        <v>644</v>
      </c>
      <c r="E19" s="18">
        <v>3</v>
      </c>
      <c r="F19" s="14">
        <v>17.989999999999998</v>
      </c>
      <c r="G19" s="14">
        <v>53.97</v>
      </c>
      <c r="H19" s="7" t="s">
        <v>991</v>
      </c>
      <c r="I19" s="7" t="s">
        <v>947</v>
      </c>
      <c r="J19" s="7" t="s">
        <v>982</v>
      </c>
      <c r="K19" s="7" t="str">
        <f>HYPERLINK("http://slimages.macys.com/is/image/MCY/17937738 ")</f>
        <v xml:space="preserve">http://slimages.macys.com/is/image/MCY/17937738 </v>
      </c>
      <c r="L19" s="9"/>
    </row>
    <row r="20" spans="1:12" ht="20.100000000000001" customHeight="1" x14ac:dyDescent="0.25">
      <c r="A20" s="12" t="s">
        <v>1362</v>
      </c>
      <c r="B20" s="13">
        <v>13768424</v>
      </c>
      <c r="C20" s="8">
        <v>29927577952</v>
      </c>
      <c r="D20" s="6" t="s">
        <v>645</v>
      </c>
      <c r="E20" s="18">
        <v>1</v>
      </c>
      <c r="F20" s="14">
        <v>25.99</v>
      </c>
      <c r="G20" s="14">
        <v>25.99</v>
      </c>
      <c r="H20" s="7" t="s">
        <v>944</v>
      </c>
      <c r="I20" s="7" t="s">
        <v>947</v>
      </c>
      <c r="J20" s="7" t="s">
        <v>982</v>
      </c>
      <c r="K20" s="7" t="str">
        <f>HYPERLINK("http://slimages.macys.com/is/image/MCY/17938067 ")</f>
        <v xml:space="preserve">http://slimages.macys.com/is/image/MCY/17938067 </v>
      </c>
      <c r="L20" s="9"/>
    </row>
    <row r="21" spans="1:12" ht="20.100000000000001" customHeight="1" x14ac:dyDescent="0.25">
      <c r="A21" s="12" t="s">
        <v>1362</v>
      </c>
      <c r="B21" s="13">
        <v>13768424</v>
      </c>
      <c r="C21" s="8">
        <v>29927578454</v>
      </c>
      <c r="D21" s="6" t="s">
        <v>646</v>
      </c>
      <c r="E21" s="18">
        <v>1</v>
      </c>
      <c r="F21" s="14">
        <v>23.99</v>
      </c>
      <c r="G21" s="14">
        <v>23.99</v>
      </c>
      <c r="H21" s="7" t="s">
        <v>938</v>
      </c>
      <c r="I21" s="7" t="s">
        <v>947</v>
      </c>
      <c r="J21" s="7" t="s">
        <v>982</v>
      </c>
      <c r="K21" s="7" t="str">
        <f>HYPERLINK("http://slimages.macys.com/is/image/MCY/17938807 ")</f>
        <v xml:space="preserve">http://slimages.macys.com/is/image/MCY/17938807 </v>
      </c>
      <c r="L21" s="9"/>
    </row>
    <row r="22" spans="1:12" ht="20.100000000000001" customHeight="1" x14ac:dyDescent="0.25">
      <c r="A22" s="12" t="s">
        <v>1362</v>
      </c>
      <c r="B22" s="13">
        <v>13768424</v>
      </c>
      <c r="C22" s="8">
        <v>32281181574</v>
      </c>
      <c r="D22" s="6" t="s">
        <v>1209</v>
      </c>
      <c r="E22" s="18">
        <v>1</v>
      </c>
      <c r="F22" s="14">
        <v>24.99</v>
      </c>
      <c r="G22" s="14">
        <v>24.99</v>
      </c>
      <c r="H22" s="7"/>
      <c r="I22" s="7" t="s">
        <v>1342</v>
      </c>
      <c r="J22" s="7" t="s">
        <v>1210</v>
      </c>
      <c r="K22" s="7" t="str">
        <f>HYPERLINK("http://slimages.macys.com/is/image/MCY/17893199 ")</f>
        <v xml:space="preserve">http://slimages.macys.com/is/image/MCY/17893199 </v>
      </c>
      <c r="L22" s="9"/>
    </row>
    <row r="23" spans="1:12" ht="20.100000000000001" customHeight="1" x14ac:dyDescent="0.25">
      <c r="A23" s="12" t="s">
        <v>1362</v>
      </c>
      <c r="B23" s="13">
        <v>13768424</v>
      </c>
      <c r="C23" s="8">
        <v>32281245986</v>
      </c>
      <c r="D23" s="6" t="s">
        <v>647</v>
      </c>
      <c r="E23" s="18">
        <v>1</v>
      </c>
      <c r="F23" s="14">
        <v>29.99</v>
      </c>
      <c r="G23" s="14">
        <v>29.99</v>
      </c>
      <c r="H23" s="7"/>
      <c r="I23" s="7" t="s">
        <v>945</v>
      </c>
      <c r="J23" s="7" t="s">
        <v>1210</v>
      </c>
      <c r="K23" s="7" t="str">
        <f>HYPERLINK("http://slimages.macys.com/is/image/MCY/16143263 ")</f>
        <v xml:space="preserve">http://slimages.macys.com/is/image/MCY/16143263 </v>
      </c>
      <c r="L23" s="9"/>
    </row>
    <row r="24" spans="1:12" ht="20.100000000000001" customHeight="1" x14ac:dyDescent="0.25">
      <c r="A24" s="12" t="s">
        <v>1362</v>
      </c>
      <c r="B24" s="13">
        <v>13768424</v>
      </c>
      <c r="C24" s="8">
        <v>32281268596</v>
      </c>
      <c r="D24" s="6" t="s">
        <v>648</v>
      </c>
      <c r="E24" s="18">
        <v>2</v>
      </c>
      <c r="F24" s="14">
        <v>29.99</v>
      </c>
      <c r="G24" s="14">
        <v>59.98</v>
      </c>
      <c r="H24" s="7"/>
      <c r="I24" s="7" t="s">
        <v>945</v>
      </c>
      <c r="J24" s="7" t="s">
        <v>1210</v>
      </c>
      <c r="K24" s="7" t="str">
        <f>HYPERLINK("http://slimages.macys.com/is/image/MCY/18892714 ")</f>
        <v xml:space="preserve">http://slimages.macys.com/is/image/MCY/18892714 </v>
      </c>
      <c r="L24" s="9"/>
    </row>
    <row r="25" spans="1:12" ht="20.100000000000001" customHeight="1" x14ac:dyDescent="0.25">
      <c r="A25" s="12" t="s">
        <v>1362</v>
      </c>
      <c r="B25" s="13">
        <v>13768424</v>
      </c>
      <c r="C25" s="8">
        <v>32281640484</v>
      </c>
      <c r="D25" s="6" t="s">
        <v>649</v>
      </c>
      <c r="E25" s="18">
        <v>1</v>
      </c>
      <c r="F25" s="14">
        <v>24.99</v>
      </c>
      <c r="G25" s="14">
        <v>24.99</v>
      </c>
      <c r="H25" s="7"/>
      <c r="I25" s="7" t="s">
        <v>945</v>
      </c>
      <c r="J25" s="7" t="s">
        <v>1210</v>
      </c>
      <c r="K25" s="7" t="str">
        <f>HYPERLINK("http://slimages.macys.com/is/image/MCY/18891598 ")</f>
        <v xml:space="preserve">http://slimages.macys.com/is/image/MCY/18891598 </v>
      </c>
      <c r="L25" s="9"/>
    </row>
    <row r="26" spans="1:12" ht="20.100000000000001" customHeight="1" x14ac:dyDescent="0.25">
      <c r="A26" s="12" t="s">
        <v>1362</v>
      </c>
      <c r="B26" s="13">
        <v>13768424</v>
      </c>
      <c r="C26" s="8">
        <v>32281640521</v>
      </c>
      <c r="D26" s="6" t="s">
        <v>650</v>
      </c>
      <c r="E26" s="18">
        <v>2</v>
      </c>
      <c r="F26" s="14">
        <v>24.99</v>
      </c>
      <c r="G26" s="14">
        <v>49.98</v>
      </c>
      <c r="H26" s="7"/>
      <c r="I26" s="7" t="s">
        <v>945</v>
      </c>
      <c r="J26" s="7" t="s">
        <v>1210</v>
      </c>
      <c r="K26" s="7" t="str">
        <f>HYPERLINK("http://slimages.macys.com/is/image/MCY/18891366 ")</f>
        <v xml:space="preserve">http://slimages.macys.com/is/image/MCY/18891366 </v>
      </c>
      <c r="L26" s="9"/>
    </row>
    <row r="27" spans="1:12" ht="20.100000000000001" customHeight="1" x14ac:dyDescent="0.25">
      <c r="A27" s="12" t="s">
        <v>1362</v>
      </c>
      <c r="B27" s="13">
        <v>13768424</v>
      </c>
      <c r="C27" s="8">
        <v>34086777921</v>
      </c>
      <c r="D27" s="6" t="s">
        <v>1230</v>
      </c>
      <c r="E27" s="18">
        <v>1</v>
      </c>
      <c r="F27" s="14">
        <v>8.99</v>
      </c>
      <c r="G27" s="14">
        <v>8.99</v>
      </c>
      <c r="H27" s="7" t="s">
        <v>941</v>
      </c>
      <c r="I27" s="7" t="s">
        <v>942</v>
      </c>
      <c r="J27" s="7" t="s">
        <v>1355</v>
      </c>
      <c r="K27" s="7" t="str">
        <f>HYPERLINK("http://slimages.macys.com/is/image/MCY/18662859 ")</f>
        <v xml:space="preserve">http://slimages.macys.com/is/image/MCY/18662859 </v>
      </c>
      <c r="L27" s="9"/>
    </row>
    <row r="28" spans="1:12" ht="20.100000000000001" customHeight="1" x14ac:dyDescent="0.25">
      <c r="A28" s="12" t="s">
        <v>1362</v>
      </c>
      <c r="B28" s="13">
        <v>13768424</v>
      </c>
      <c r="C28" s="8">
        <v>38992917624</v>
      </c>
      <c r="D28" s="6" t="s">
        <v>651</v>
      </c>
      <c r="E28" s="18">
        <v>1</v>
      </c>
      <c r="F28" s="14">
        <v>329.99</v>
      </c>
      <c r="G28" s="14">
        <v>329.99</v>
      </c>
      <c r="H28" s="7" t="s">
        <v>938</v>
      </c>
      <c r="I28" s="7" t="s">
        <v>966</v>
      </c>
      <c r="J28" s="7" t="s">
        <v>998</v>
      </c>
      <c r="K28" s="7" t="str">
        <f>HYPERLINK("http://slimages.macys.com/is/image/MCY/9518022 ")</f>
        <v xml:space="preserve">http://slimages.macys.com/is/image/MCY/9518022 </v>
      </c>
      <c r="L28" s="9"/>
    </row>
    <row r="29" spans="1:12" ht="20.100000000000001" customHeight="1" x14ac:dyDescent="0.25">
      <c r="A29" s="12" t="s">
        <v>1362</v>
      </c>
      <c r="B29" s="13">
        <v>13768424</v>
      </c>
      <c r="C29" s="8">
        <v>42437022569</v>
      </c>
      <c r="D29" s="6" t="s">
        <v>652</v>
      </c>
      <c r="E29" s="18">
        <v>2</v>
      </c>
      <c r="F29" s="14">
        <v>67.989999999999995</v>
      </c>
      <c r="G29" s="14">
        <v>135.97999999999999</v>
      </c>
      <c r="H29" s="7" t="s">
        <v>987</v>
      </c>
      <c r="I29" s="7" t="s">
        <v>947</v>
      </c>
      <c r="J29" s="7" t="s">
        <v>1219</v>
      </c>
      <c r="K29" s="7" t="str">
        <f>HYPERLINK("http://slimages.macys.com/is/image/MCY/15297442 ")</f>
        <v xml:space="preserve">http://slimages.macys.com/is/image/MCY/15297442 </v>
      </c>
      <c r="L29" s="9"/>
    </row>
    <row r="30" spans="1:12" ht="20.100000000000001" customHeight="1" x14ac:dyDescent="0.25">
      <c r="A30" s="12" t="s">
        <v>1362</v>
      </c>
      <c r="B30" s="13">
        <v>13768424</v>
      </c>
      <c r="C30" s="8">
        <v>46249627943</v>
      </c>
      <c r="D30" s="6" t="s">
        <v>653</v>
      </c>
      <c r="E30" s="18">
        <v>2</v>
      </c>
      <c r="F30" s="14">
        <v>79.989999999999995</v>
      </c>
      <c r="G30" s="14">
        <v>159.97999999999999</v>
      </c>
      <c r="H30" s="7"/>
      <c r="I30" s="7" t="s">
        <v>1003</v>
      </c>
      <c r="J30" s="7" t="s">
        <v>1075</v>
      </c>
      <c r="K30" s="7" t="str">
        <f>HYPERLINK("http://slimages.macys.com/is/image/MCY/17039938 ")</f>
        <v xml:space="preserve">http://slimages.macys.com/is/image/MCY/17039938 </v>
      </c>
      <c r="L30" s="9"/>
    </row>
    <row r="31" spans="1:12" ht="20.100000000000001" customHeight="1" x14ac:dyDescent="0.25">
      <c r="A31" s="12" t="s">
        <v>1362</v>
      </c>
      <c r="B31" s="13">
        <v>13768424</v>
      </c>
      <c r="C31" s="8">
        <v>46249646685</v>
      </c>
      <c r="D31" s="6" t="s">
        <v>654</v>
      </c>
      <c r="E31" s="18">
        <v>1</v>
      </c>
      <c r="F31" s="14">
        <v>5.99</v>
      </c>
      <c r="G31" s="14">
        <v>5.99</v>
      </c>
      <c r="H31" s="7" t="s">
        <v>941</v>
      </c>
      <c r="I31" s="7" t="s">
        <v>1033</v>
      </c>
      <c r="J31" s="7" t="s">
        <v>1075</v>
      </c>
      <c r="K31" s="7" t="str">
        <f>HYPERLINK("http://slimages.macys.com/is/image/MCY/17493081 ")</f>
        <v xml:space="preserve">http://slimages.macys.com/is/image/MCY/17493081 </v>
      </c>
      <c r="L31" s="9"/>
    </row>
    <row r="32" spans="1:12" ht="20.100000000000001" customHeight="1" x14ac:dyDescent="0.25">
      <c r="A32" s="12" t="s">
        <v>1362</v>
      </c>
      <c r="B32" s="13">
        <v>13768424</v>
      </c>
      <c r="C32" s="8">
        <v>46249646883</v>
      </c>
      <c r="D32" s="6" t="s">
        <v>655</v>
      </c>
      <c r="E32" s="18">
        <v>1</v>
      </c>
      <c r="F32" s="14">
        <v>7.99</v>
      </c>
      <c r="G32" s="14">
        <v>7.99</v>
      </c>
      <c r="H32" s="7" t="s">
        <v>950</v>
      </c>
      <c r="I32" s="7" t="s">
        <v>1033</v>
      </c>
      <c r="J32" s="7" t="s">
        <v>1075</v>
      </c>
      <c r="K32" s="7" t="str">
        <f>HYPERLINK("http://slimages.macys.com/is/image/MCY/17492917 ")</f>
        <v xml:space="preserve">http://slimages.macys.com/is/image/MCY/17492917 </v>
      </c>
      <c r="L32" s="9"/>
    </row>
    <row r="33" spans="1:12" ht="20.100000000000001" customHeight="1" x14ac:dyDescent="0.25">
      <c r="A33" s="12" t="s">
        <v>1362</v>
      </c>
      <c r="B33" s="13">
        <v>13768424</v>
      </c>
      <c r="C33" s="8">
        <v>54006621974</v>
      </c>
      <c r="D33" s="6" t="s">
        <v>656</v>
      </c>
      <c r="E33" s="18">
        <v>2</v>
      </c>
      <c r="F33" s="14">
        <v>24.99</v>
      </c>
      <c r="G33" s="14">
        <v>49.98</v>
      </c>
      <c r="H33" s="7" t="s">
        <v>1005</v>
      </c>
      <c r="I33" s="7" t="s">
        <v>947</v>
      </c>
      <c r="J33" s="7" t="s">
        <v>1060</v>
      </c>
      <c r="K33" s="7" t="str">
        <f>HYPERLINK("http://slimages.macys.com/is/image/MCY/11685195 ")</f>
        <v xml:space="preserve">http://slimages.macys.com/is/image/MCY/11685195 </v>
      </c>
      <c r="L33" s="9"/>
    </row>
    <row r="34" spans="1:12" ht="20.100000000000001" customHeight="1" x14ac:dyDescent="0.25">
      <c r="A34" s="12" t="s">
        <v>1362</v>
      </c>
      <c r="B34" s="13">
        <v>13768424</v>
      </c>
      <c r="C34" s="8">
        <v>64247003347</v>
      </c>
      <c r="D34" s="6" t="s">
        <v>657</v>
      </c>
      <c r="E34" s="18">
        <v>1</v>
      </c>
      <c r="F34" s="14">
        <v>78.989999999999995</v>
      </c>
      <c r="G34" s="14">
        <v>78.989999999999995</v>
      </c>
      <c r="H34" s="7" t="s">
        <v>938</v>
      </c>
      <c r="I34" s="7" t="s">
        <v>947</v>
      </c>
      <c r="J34" s="7" t="s">
        <v>1037</v>
      </c>
      <c r="K34" s="7" t="str">
        <f>HYPERLINK("http://slimages.macys.com/is/image/MCY/13754184 ")</f>
        <v xml:space="preserve">http://slimages.macys.com/is/image/MCY/13754184 </v>
      </c>
      <c r="L34" s="9"/>
    </row>
    <row r="35" spans="1:12" ht="20.100000000000001" customHeight="1" x14ac:dyDescent="0.25">
      <c r="A35" s="12" t="s">
        <v>1362</v>
      </c>
      <c r="B35" s="13">
        <v>13768424</v>
      </c>
      <c r="C35" s="8">
        <v>64247029477</v>
      </c>
      <c r="D35" s="6" t="s">
        <v>658</v>
      </c>
      <c r="E35" s="18">
        <v>1</v>
      </c>
      <c r="F35" s="14">
        <v>155.99</v>
      </c>
      <c r="G35" s="14">
        <v>155.99</v>
      </c>
      <c r="H35" s="7" t="s">
        <v>941</v>
      </c>
      <c r="I35" s="7" t="s">
        <v>947</v>
      </c>
      <c r="J35" s="7" t="s">
        <v>1037</v>
      </c>
      <c r="K35" s="7" t="str">
        <f>HYPERLINK("http://slimages.macys.com/is/image/MCY/15526851 ")</f>
        <v xml:space="preserve">http://slimages.macys.com/is/image/MCY/15526851 </v>
      </c>
      <c r="L35" s="9"/>
    </row>
    <row r="36" spans="1:12" ht="20.100000000000001" customHeight="1" x14ac:dyDescent="0.25">
      <c r="A36" s="12" t="s">
        <v>1362</v>
      </c>
      <c r="B36" s="13">
        <v>13768424</v>
      </c>
      <c r="C36" s="8">
        <v>81806404773</v>
      </c>
      <c r="D36" s="6" t="s">
        <v>659</v>
      </c>
      <c r="E36" s="18">
        <v>1</v>
      </c>
      <c r="F36" s="14">
        <v>78.11</v>
      </c>
      <c r="G36" s="14">
        <v>78.11</v>
      </c>
      <c r="H36" s="7" t="s">
        <v>950</v>
      </c>
      <c r="I36" s="7" t="s">
        <v>947</v>
      </c>
      <c r="J36" s="7" t="s">
        <v>1141</v>
      </c>
      <c r="K36" s="7" t="str">
        <f>HYPERLINK("http://slimages.macys.com/is/image/MCY/9969771 ")</f>
        <v xml:space="preserve">http://slimages.macys.com/is/image/MCY/9969771 </v>
      </c>
      <c r="L36" s="9"/>
    </row>
    <row r="37" spans="1:12" ht="20.100000000000001" customHeight="1" x14ac:dyDescent="0.25">
      <c r="A37" s="12" t="s">
        <v>1362</v>
      </c>
      <c r="B37" s="13">
        <v>13768424</v>
      </c>
      <c r="C37" s="8">
        <v>81806612512</v>
      </c>
      <c r="D37" s="6" t="s">
        <v>660</v>
      </c>
      <c r="E37" s="18">
        <v>1</v>
      </c>
      <c r="F37" s="14">
        <v>39.99</v>
      </c>
      <c r="G37" s="14">
        <v>39.99</v>
      </c>
      <c r="H37" s="7" t="s">
        <v>941</v>
      </c>
      <c r="I37" s="7" t="s">
        <v>945</v>
      </c>
      <c r="J37" s="7" t="s">
        <v>1189</v>
      </c>
      <c r="K37" s="7" t="str">
        <f>HYPERLINK("http://slimages.macys.com/is/image/MCY/18680369 ")</f>
        <v xml:space="preserve">http://slimages.macys.com/is/image/MCY/18680369 </v>
      </c>
      <c r="L37" s="9"/>
    </row>
    <row r="38" spans="1:12" ht="20.100000000000001" customHeight="1" x14ac:dyDescent="0.25">
      <c r="A38" s="12" t="s">
        <v>1362</v>
      </c>
      <c r="B38" s="13">
        <v>13768424</v>
      </c>
      <c r="C38" s="8">
        <v>86569005755</v>
      </c>
      <c r="D38" s="6" t="s">
        <v>661</v>
      </c>
      <c r="E38" s="18">
        <v>1</v>
      </c>
      <c r="F38" s="14">
        <v>38.99</v>
      </c>
      <c r="G38" s="14">
        <v>38.99</v>
      </c>
      <c r="H38" s="7" t="s">
        <v>944</v>
      </c>
      <c r="I38" s="7" t="s">
        <v>947</v>
      </c>
      <c r="J38" s="7" t="s">
        <v>955</v>
      </c>
      <c r="K38" s="7" t="str">
        <f>HYPERLINK("http://slimages.macys.com/is/image/MCY/9912812 ")</f>
        <v xml:space="preserve">http://slimages.macys.com/is/image/MCY/9912812 </v>
      </c>
      <c r="L38" s="9"/>
    </row>
    <row r="39" spans="1:12" ht="20.100000000000001" customHeight="1" x14ac:dyDescent="0.25">
      <c r="A39" s="12" t="s">
        <v>1362</v>
      </c>
      <c r="B39" s="13">
        <v>13768424</v>
      </c>
      <c r="C39" s="8">
        <v>86569094162</v>
      </c>
      <c r="D39" s="6" t="s">
        <v>662</v>
      </c>
      <c r="E39" s="18">
        <v>1</v>
      </c>
      <c r="F39" s="14">
        <v>99.99</v>
      </c>
      <c r="G39" s="14">
        <v>99.99</v>
      </c>
      <c r="H39" s="7" t="s">
        <v>1068</v>
      </c>
      <c r="I39" s="7" t="s">
        <v>945</v>
      </c>
      <c r="J39" s="7" t="s">
        <v>955</v>
      </c>
      <c r="K39" s="7" t="str">
        <f>HYPERLINK("http://slimages.macys.com/is/image/MCY/12499513 ")</f>
        <v xml:space="preserve">http://slimages.macys.com/is/image/MCY/12499513 </v>
      </c>
      <c r="L39" s="9"/>
    </row>
    <row r="40" spans="1:12" ht="20.100000000000001" customHeight="1" x14ac:dyDescent="0.25">
      <c r="A40" s="12" t="s">
        <v>1362</v>
      </c>
      <c r="B40" s="13">
        <v>13768424</v>
      </c>
      <c r="C40" s="8">
        <v>86569115232</v>
      </c>
      <c r="D40" s="6" t="s">
        <v>663</v>
      </c>
      <c r="E40" s="18">
        <v>1</v>
      </c>
      <c r="F40" s="14">
        <v>179.99</v>
      </c>
      <c r="G40" s="14">
        <v>179.99</v>
      </c>
      <c r="H40" s="7" t="s">
        <v>941</v>
      </c>
      <c r="I40" s="7" t="s">
        <v>999</v>
      </c>
      <c r="J40" s="7" t="s">
        <v>1105</v>
      </c>
      <c r="K40" s="7" t="str">
        <f>HYPERLINK("http://slimages.macys.com/is/image/MCY/11299625 ")</f>
        <v xml:space="preserve">http://slimages.macys.com/is/image/MCY/11299625 </v>
      </c>
      <c r="L40" s="9"/>
    </row>
    <row r="41" spans="1:12" ht="20.100000000000001" customHeight="1" x14ac:dyDescent="0.25">
      <c r="A41" s="12" t="s">
        <v>1362</v>
      </c>
      <c r="B41" s="13">
        <v>13768424</v>
      </c>
      <c r="C41" s="8">
        <v>86569121516</v>
      </c>
      <c r="D41" s="6" t="s">
        <v>664</v>
      </c>
      <c r="E41" s="18">
        <v>1</v>
      </c>
      <c r="F41" s="14">
        <v>140.99</v>
      </c>
      <c r="G41" s="14">
        <v>140.99</v>
      </c>
      <c r="H41" s="7" t="s">
        <v>944</v>
      </c>
      <c r="I41" s="7" t="s">
        <v>945</v>
      </c>
      <c r="J41" s="7" t="s">
        <v>955</v>
      </c>
      <c r="K41" s="7" t="str">
        <f>HYPERLINK("http://slimages.macys.com/is/image/MCY/11825795 ")</f>
        <v xml:space="preserve">http://slimages.macys.com/is/image/MCY/11825795 </v>
      </c>
      <c r="L41" s="9"/>
    </row>
    <row r="42" spans="1:12" ht="20.100000000000001" customHeight="1" x14ac:dyDescent="0.25">
      <c r="A42" s="12" t="s">
        <v>1362</v>
      </c>
      <c r="B42" s="13">
        <v>13768424</v>
      </c>
      <c r="C42" s="8">
        <v>86569124098</v>
      </c>
      <c r="D42" s="6" t="s">
        <v>665</v>
      </c>
      <c r="E42" s="18">
        <v>1</v>
      </c>
      <c r="F42" s="14">
        <v>59.99</v>
      </c>
      <c r="G42" s="14">
        <v>59.99</v>
      </c>
      <c r="H42" s="7" t="s">
        <v>952</v>
      </c>
      <c r="I42" s="7" t="s">
        <v>947</v>
      </c>
      <c r="J42" s="7" t="s">
        <v>955</v>
      </c>
      <c r="K42" s="7" t="str">
        <f>HYPERLINK("http://slimages.macys.com/is/image/MCY/11127289 ")</f>
        <v xml:space="preserve">http://slimages.macys.com/is/image/MCY/11127289 </v>
      </c>
      <c r="L42" s="9"/>
    </row>
    <row r="43" spans="1:12" ht="20.100000000000001" customHeight="1" x14ac:dyDescent="0.25">
      <c r="A43" s="12" t="s">
        <v>1362</v>
      </c>
      <c r="B43" s="13">
        <v>13768424</v>
      </c>
      <c r="C43" s="8">
        <v>86569193612</v>
      </c>
      <c r="D43" s="6" t="s">
        <v>666</v>
      </c>
      <c r="E43" s="18">
        <v>1</v>
      </c>
      <c r="F43" s="14">
        <v>120.99</v>
      </c>
      <c r="G43" s="14">
        <v>120.99</v>
      </c>
      <c r="H43" s="7" t="s">
        <v>952</v>
      </c>
      <c r="I43" s="7" t="s">
        <v>945</v>
      </c>
      <c r="J43" s="7" t="s">
        <v>955</v>
      </c>
      <c r="K43" s="7" t="str">
        <f>HYPERLINK("http://slimages.macys.com/is/image/MCY/14429313 ")</f>
        <v xml:space="preserve">http://slimages.macys.com/is/image/MCY/14429313 </v>
      </c>
      <c r="L43" s="9"/>
    </row>
    <row r="44" spans="1:12" ht="20.100000000000001" customHeight="1" x14ac:dyDescent="0.25">
      <c r="A44" s="12" t="s">
        <v>1362</v>
      </c>
      <c r="B44" s="13">
        <v>13768424</v>
      </c>
      <c r="C44" s="8">
        <v>86569209153</v>
      </c>
      <c r="D44" s="6" t="s">
        <v>667</v>
      </c>
      <c r="E44" s="18">
        <v>1</v>
      </c>
      <c r="F44" s="14">
        <v>75.989999999999995</v>
      </c>
      <c r="G44" s="14">
        <v>75.989999999999995</v>
      </c>
      <c r="H44" s="7" t="s">
        <v>1001</v>
      </c>
      <c r="I44" s="7" t="s">
        <v>945</v>
      </c>
      <c r="J44" s="7" t="s">
        <v>955</v>
      </c>
      <c r="K44" s="7" t="str">
        <f>HYPERLINK("http://slimages.macys.com/is/image/MCY/14431578 ")</f>
        <v xml:space="preserve">http://slimages.macys.com/is/image/MCY/14431578 </v>
      </c>
      <c r="L44" s="9"/>
    </row>
    <row r="45" spans="1:12" ht="20.100000000000001" customHeight="1" x14ac:dyDescent="0.25">
      <c r="A45" s="12" t="s">
        <v>1362</v>
      </c>
      <c r="B45" s="13">
        <v>13768424</v>
      </c>
      <c r="C45" s="8">
        <v>86569349156</v>
      </c>
      <c r="D45" s="6" t="s">
        <v>1305</v>
      </c>
      <c r="E45" s="18">
        <v>1</v>
      </c>
      <c r="F45" s="14">
        <v>109.99</v>
      </c>
      <c r="G45" s="14">
        <v>109.99</v>
      </c>
      <c r="H45" s="7" t="s">
        <v>944</v>
      </c>
      <c r="I45" s="7" t="s">
        <v>945</v>
      </c>
      <c r="J45" s="7" t="s">
        <v>955</v>
      </c>
      <c r="K45" s="7" t="str">
        <f>HYPERLINK("http://slimages.macys.com/is/image/MCY/16650276 ")</f>
        <v xml:space="preserve">http://slimages.macys.com/is/image/MCY/16650276 </v>
      </c>
      <c r="L45" s="9"/>
    </row>
    <row r="46" spans="1:12" ht="20.100000000000001" customHeight="1" x14ac:dyDescent="0.25">
      <c r="A46" s="12" t="s">
        <v>1362</v>
      </c>
      <c r="B46" s="13">
        <v>13768424</v>
      </c>
      <c r="C46" s="8">
        <v>86569349163</v>
      </c>
      <c r="D46" s="6" t="s">
        <v>1413</v>
      </c>
      <c r="E46" s="18">
        <v>2</v>
      </c>
      <c r="F46" s="14">
        <v>129.99</v>
      </c>
      <c r="G46" s="14">
        <v>259.98</v>
      </c>
      <c r="H46" s="7" t="s">
        <v>944</v>
      </c>
      <c r="I46" s="7" t="s">
        <v>945</v>
      </c>
      <c r="J46" s="7" t="s">
        <v>955</v>
      </c>
      <c r="K46" s="7" t="str">
        <f>HYPERLINK("http://slimages.macys.com/is/image/MCY/16650276 ")</f>
        <v xml:space="preserve">http://slimages.macys.com/is/image/MCY/16650276 </v>
      </c>
      <c r="L46" s="9"/>
    </row>
    <row r="47" spans="1:12" ht="20.100000000000001" customHeight="1" x14ac:dyDescent="0.25">
      <c r="A47" s="12" t="s">
        <v>1362</v>
      </c>
      <c r="B47" s="13">
        <v>13768424</v>
      </c>
      <c r="C47" s="8">
        <v>86569363428</v>
      </c>
      <c r="D47" s="6" t="s">
        <v>1306</v>
      </c>
      <c r="E47" s="18">
        <v>1</v>
      </c>
      <c r="F47" s="14">
        <v>35.99</v>
      </c>
      <c r="G47" s="14">
        <v>35.99</v>
      </c>
      <c r="H47" s="7" t="s">
        <v>952</v>
      </c>
      <c r="I47" s="7" t="s">
        <v>1011</v>
      </c>
      <c r="J47" s="7" t="s">
        <v>1042</v>
      </c>
      <c r="K47" s="7" t="str">
        <f>HYPERLINK("http://slimages.macys.com/is/image/MCY/9489266 ")</f>
        <v xml:space="preserve">http://slimages.macys.com/is/image/MCY/9489266 </v>
      </c>
      <c r="L47" s="9"/>
    </row>
    <row r="48" spans="1:12" ht="20.100000000000001" customHeight="1" x14ac:dyDescent="0.25">
      <c r="A48" s="12" t="s">
        <v>1362</v>
      </c>
      <c r="B48" s="13">
        <v>13768424</v>
      </c>
      <c r="C48" s="8">
        <v>86569363473</v>
      </c>
      <c r="D48" s="6" t="s">
        <v>668</v>
      </c>
      <c r="E48" s="18">
        <v>1</v>
      </c>
      <c r="F48" s="14">
        <v>47.99</v>
      </c>
      <c r="G48" s="14">
        <v>47.99</v>
      </c>
      <c r="H48" s="7" t="s">
        <v>1025</v>
      </c>
      <c r="I48" s="7" t="s">
        <v>1011</v>
      </c>
      <c r="J48" s="7" t="s">
        <v>1042</v>
      </c>
      <c r="K48" s="7" t="str">
        <f>HYPERLINK("http://slimages.macys.com/is/image/MCY/9489266 ")</f>
        <v xml:space="preserve">http://slimages.macys.com/is/image/MCY/9489266 </v>
      </c>
      <c r="L48" s="9"/>
    </row>
    <row r="49" spans="1:12" ht="20.100000000000001" customHeight="1" x14ac:dyDescent="0.25">
      <c r="A49" s="12" t="s">
        <v>1362</v>
      </c>
      <c r="B49" s="13">
        <v>13768424</v>
      </c>
      <c r="C49" s="8">
        <v>86569496799</v>
      </c>
      <c r="D49" s="6" t="s">
        <v>669</v>
      </c>
      <c r="E49" s="18">
        <v>1</v>
      </c>
      <c r="F49" s="14">
        <v>69.989999999999995</v>
      </c>
      <c r="G49" s="14">
        <v>69.989999999999995</v>
      </c>
      <c r="H49" s="7" t="s">
        <v>941</v>
      </c>
      <c r="I49" s="7" t="s">
        <v>945</v>
      </c>
      <c r="J49" s="7" t="s">
        <v>955</v>
      </c>
      <c r="K49" s="7" t="str">
        <f>HYPERLINK("http://slimages.macys.com/is/image/MCY/18974231 ")</f>
        <v xml:space="preserve">http://slimages.macys.com/is/image/MCY/18974231 </v>
      </c>
      <c r="L49" s="9"/>
    </row>
    <row r="50" spans="1:12" ht="20.100000000000001" customHeight="1" x14ac:dyDescent="0.25">
      <c r="A50" s="12" t="s">
        <v>1362</v>
      </c>
      <c r="B50" s="13">
        <v>13768424</v>
      </c>
      <c r="C50" s="8">
        <v>86569497673</v>
      </c>
      <c r="D50" s="6" t="s">
        <v>670</v>
      </c>
      <c r="E50" s="18">
        <v>7</v>
      </c>
      <c r="F50" s="14">
        <v>119.99</v>
      </c>
      <c r="G50" s="14">
        <v>839.93</v>
      </c>
      <c r="H50" s="7" t="s">
        <v>941</v>
      </c>
      <c r="I50" s="7" t="s">
        <v>945</v>
      </c>
      <c r="J50" s="7" t="s">
        <v>955</v>
      </c>
      <c r="K50" s="7" t="str">
        <f>HYPERLINK("http://slimages.macys.com/is/image/MCY/18979562 ")</f>
        <v xml:space="preserve">http://slimages.macys.com/is/image/MCY/18979562 </v>
      </c>
      <c r="L50" s="9"/>
    </row>
    <row r="51" spans="1:12" ht="20.100000000000001" customHeight="1" x14ac:dyDescent="0.25">
      <c r="A51" s="12" t="s">
        <v>1362</v>
      </c>
      <c r="B51" s="13">
        <v>13768424</v>
      </c>
      <c r="C51" s="8">
        <v>86569539489</v>
      </c>
      <c r="D51" s="6" t="s">
        <v>671</v>
      </c>
      <c r="E51" s="18">
        <v>1</v>
      </c>
      <c r="F51" s="14">
        <v>24.99</v>
      </c>
      <c r="G51" s="14">
        <v>24.99</v>
      </c>
      <c r="H51" s="7" t="s">
        <v>1236</v>
      </c>
      <c r="I51" s="7" t="s">
        <v>947</v>
      </c>
      <c r="J51" s="7" t="s">
        <v>955</v>
      </c>
      <c r="K51" s="7" t="str">
        <f>HYPERLINK("http://slimages.macys.com/is/image/MCY/18869450 ")</f>
        <v xml:space="preserve">http://slimages.macys.com/is/image/MCY/18869450 </v>
      </c>
      <c r="L51" s="9"/>
    </row>
    <row r="52" spans="1:12" ht="20.100000000000001" customHeight="1" x14ac:dyDescent="0.25">
      <c r="A52" s="12" t="s">
        <v>1362</v>
      </c>
      <c r="B52" s="13">
        <v>13768424</v>
      </c>
      <c r="C52" s="8">
        <v>86569896643</v>
      </c>
      <c r="D52" s="6" t="s">
        <v>672</v>
      </c>
      <c r="E52" s="18">
        <v>1</v>
      </c>
      <c r="F52" s="14">
        <v>104.99</v>
      </c>
      <c r="G52" s="14">
        <v>104.99</v>
      </c>
      <c r="H52" s="7" t="s">
        <v>1026</v>
      </c>
      <c r="I52" s="7" t="s">
        <v>947</v>
      </c>
      <c r="J52" s="7" t="s">
        <v>955</v>
      </c>
      <c r="K52" s="7" t="str">
        <f>HYPERLINK("http://slimages.macys.com/is/image/MCY/10028055 ")</f>
        <v xml:space="preserve">http://slimages.macys.com/is/image/MCY/10028055 </v>
      </c>
      <c r="L52" s="9"/>
    </row>
    <row r="53" spans="1:12" ht="20.100000000000001" customHeight="1" x14ac:dyDescent="0.25">
      <c r="A53" s="12" t="s">
        <v>1362</v>
      </c>
      <c r="B53" s="13">
        <v>13768424</v>
      </c>
      <c r="C53" s="8">
        <v>86569902931</v>
      </c>
      <c r="D53" s="6" t="s">
        <v>673</v>
      </c>
      <c r="E53" s="18">
        <v>5</v>
      </c>
      <c r="F53" s="14">
        <v>38.99</v>
      </c>
      <c r="G53" s="14">
        <v>194.95</v>
      </c>
      <c r="H53" s="7" t="s">
        <v>944</v>
      </c>
      <c r="I53" s="7" t="s">
        <v>947</v>
      </c>
      <c r="J53" s="7" t="s">
        <v>955</v>
      </c>
      <c r="K53" s="7" t="str">
        <f>HYPERLINK("http://slimages.macys.com/is/image/MCY/9310362 ")</f>
        <v xml:space="preserve">http://slimages.macys.com/is/image/MCY/9310362 </v>
      </c>
      <c r="L53" s="9"/>
    </row>
    <row r="54" spans="1:12" ht="20.100000000000001" customHeight="1" x14ac:dyDescent="0.25">
      <c r="A54" s="12" t="s">
        <v>1362</v>
      </c>
      <c r="B54" s="13">
        <v>13768424</v>
      </c>
      <c r="C54" s="8">
        <v>86569934970</v>
      </c>
      <c r="D54" s="6" t="s">
        <v>674</v>
      </c>
      <c r="E54" s="18">
        <v>2</v>
      </c>
      <c r="F54" s="14">
        <v>64.989999999999995</v>
      </c>
      <c r="G54" s="14">
        <v>129.97999999999999</v>
      </c>
      <c r="H54" s="7" t="s">
        <v>1068</v>
      </c>
      <c r="I54" s="7" t="s">
        <v>1033</v>
      </c>
      <c r="J54" s="7" t="s">
        <v>955</v>
      </c>
      <c r="K54" s="7" t="str">
        <f>HYPERLINK("http://slimages.macys.com/is/image/MCY/8511552 ")</f>
        <v xml:space="preserve">http://slimages.macys.com/is/image/MCY/8511552 </v>
      </c>
      <c r="L54" s="9"/>
    </row>
    <row r="55" spans="1:12" ht="20.100000000000001" customHeight="1" x14ac:dyDescent="0.25">
      <c r="A55" s="12" t="s">
        <v>1362</v>
      </c>
      <c r="B55" s="13">
        <v>13768424</v>
      </c>
      <c r="C55" s="8">
        <v>91116695501</v>
      </c>
      <c r="D55" s="6" t="s">
        <v>675</v>
      </c>
      <c r="E55" s="18">
        <v>1</v>
      </c>
      <c r="F55" s="14">
        <v>18.989999999999998</v>
      </c>
      <c r="G55" s="14">
        <v>18.989999999999998</v>
      </c>
      <c r="H55" s="7" t="s">
        <v>944</v>
      </c>
      <c r="I55" s="7" t="s">
        <v>939</v>
      </c>
      <c r="J55" s="7" t="s">
        <v>1249</v>
      </c>
      <c r="K55" s="7" t="str">
        <f>HYPERLINK("http://slimages.macys.com/is/image/MCY/3162549 ")</f>
        <v xml:space="preserve">http://slimages.macys.com/is/image/MCY/3162549 </v>
      </c>
      <c r="L55" s="9"/>
    </row>
    <row r="56" spans="1:12" ht="20.100000000000001" customHeight="1" x14ac:dyDescent="0.25">
      <c r="A56" s="12" t="s">
        <v>1362</v>
      </c>
      <c r="B56" s="13">
        <v>13768424</v>
      </c>
      <c r="C56" s="8">
        <v>96675311015</v>
      </c>
      <c r="D56" s="6" t="s">
        <v>1414</v>
      </c>
      <c r="E56" s="18">
        <v>1</v>
      </c>
      <c r="F56" s="14">
        <v>24.99</v>
      </c>
      <c r="G56" s="14">
        <v>24.99</v>
      </c>
      <c r="H56" s="7" t="s">
        <v>965</v>
      </c>
      <c r="I56" s="7" t="s">
        <v>942</v>
      </c>
      <c r="J56" s="7" t="s">
        <v>1070</v>
      </c>
      <c r="K56" s="7" t="str">
        <f>HYPERLINK("http://slimages.macys.com/is/image/MCY/16148734 ")</f>
        <v xml:space="preserve">http://slimages.macys.com/is/image/MCY/16148734 </v>
      </c>
      <c r="L56" s="9"/>
    </row>
    <row r="57" spans="1:12" ht="20.100000000000001" customHeight="1" x14ac:dyDescent="0.25">
      <c r="A57" s="12" t="s">
        <v>1362</v>
      </c>
      <c r="B57" s="13">
        <v>13768424</v>
      </c>
      <c r="C57" s="8">
        <v>96675467422</v>
      </c>
      <c r="D57" s="6" t="s">
        <v>1091</v>
      </c>
      <c r="E57" s="18">
        <v>1</v>
      </c>
      <c r="F57" s="14">
        <v>32.99</v>
      </c>
      <c r="G57" s="14">
        <v>32.99</v>
      </c>
      <c r="H57" s="7" t="s">
        <v>941</v>
      </c>
      <c r="I57" s="7" t="s">
        <v>942</v>
      </c>
      <c r="J57" s="7" t="s">
        <v>1070</v>
      </c>
      <c r="K57" s="7" t="str">
        <f>HYPERLINK("http://slimages.macys.com/is/image/MCY/10055895 ")</f>
        <v xml:space="preserve">http://slimages.macys.com/is/image/MCY/10055895 </v>
      </c>
    </row>
    <row r="58" spans="1:12" ht="20.100000000000001" customHeight="1" x14ac:dyDescent="0.25">
      <c r="A58" s="12" t="s">
        <v>1362</v>
      </c>
      <c r="B58" s="13">
        <v>13768424</v>
      </c>
      <c r="C58" s="8">
        <v>96675612235</v>
      </c>
      <c r="D58" s="6" t="s">
        <v>1521</v>
      </c>
      <c r="E58" s="18">
        <v>1</v>
      </c>
      <c r="F58" s="14">
        <v>289.99</v>
      </c>
      <c r="G58" s="14">
        <v>289.99</v>
      </c>
      <c r="H58" s="7" t="s">
        <v>941</v>
      </c>
      <c r="I58" s="7" t="s">
        <v>942</v>
      </c>
      <c r="J58" s="7" t="s">
        <v>1070</v>
      </c>
      <c r="K58" s="7" t="str">
        <f>HYPERLINK("http://slimages.macys.com/is/image/MCY/15866479 ")</f>
        <v xml:space="preserve">http://slimages.macys.com/is/image/MCY/15866479 </v>
      </c>
    </row>
    <row r="59" spans="1:12" ht="20.100000000000001" customHeight="1" x14ac:dyDescent="0.25">
      <c r="A59" s="12" t="s">
        <v>1362</v>
      </c>
      <c r="B59" s="13">
        <v>13768424</v>
      </c>
      <c r="C59" s="8">
        <v>96675641624</v>
      </c>
      <c r="D59" s="6" t="s">
        <v>676</v>
      </c>
      <c r="E59" s="18">
        <v>1</v>
      </c>
      <c r="F59" s="14">
        <v>46.99</v>
      </c>
      <c r="G59" s="14">
        <v>46.99</v>
      </c>
      <c r="H59" s="7" t="s">
        <v>941</v>
      </c>
      <c r="I59" s="7" t="s">
        <v>942</v>
      </c>
      <c r="J59" s="7" t="s">
        <v>1070</v>
      </c>
      <c r="K59" s="7" t="str">
        <f>HYPERLINK("http://slimages.macys.com/is/image/MCY/14724460 ")</f>
        <v xml:space="preserve">http://slimages.macys.com/is/image/MCY/14724460 </v>
      </c>
    </row>
    <row r="60" spans="1:12" ht="20.100000000000001" customHeight="1" x14ac:dyDescent="0.25">
      <c r="A60" s="12" t="s">
        <v>1362</v>
      </c>
      <c r="B60" s="13">
        <v>13768424</v>
      </c>
      <c r="C60" s="8">
        <v>96675700819</v>
      </c>
      <c r="D60" s="6" t="s">
        <v>1069</v>
      </c>
      <c r="E60" s="18">
        <v>1</v>
      </c>
      <c r="F60" s="14">
        <v>59.99</v>
      </c>
      <c r="G60" s="14">
        <v>59.99</v>
      </c>
      <c r="H60" s="7" t="s">
        <v>941</v>
      </c>
      <c r="I60" s="7" t="s">
        <v>942</v>
      </c>
      <c r="J60" s="7" t="s">
        <v>1070</v>
      </c>
      <c r="K60" s="7" t="str">
        <f>HYPERLINK("http://slimages.macys.com/is/image/MCY/11443707 ")</f>
        <v xml:space="preserve">http://slimages.macys.com/is/image/MCY/11443707 </v>
      </c>
    </row>
    <row r="61" spans="1:12" ht="20.100000000000001" customHeight="1" x14ac:dyDescent="0.25">
      <c r="A61" s="12" t="s">
        <v>1362</v>
      </c>
      <c r="B61" s="13">
        <v>13768424</v>
      </c>
      <c r="C61" s="8">
        <v>96675701120</v>
      </c>
      <c r="D61" s="6" t="s">
        <v>677</v>
      </c>
      <c r="E61" s="18">
        <v>1</v>
      </c>
      <c r="F61" s="14">
        <v>74.989999999999995</v>
      </c>
      <c r="G61" s="14">
        <v>74.989999999999995</v>
      </c>
      <c r="H61" s="7" t="s">
        <v>941</v>
      </c>
      <c r="I61" s="7" t="s">
        <v>942</v>
      </c>
      <c r="J61" s="7" t="s">
        <v>1070</v>
      </c>
      <c r="K61" s="7" t="str">
        <f>HYPERLINK("http://slimages.macys.com/is/image/MCY/16095185 ")</f>
        <v xml:space="preserve">http://slimages.macys.com/is/image/MCY/16095185 </v>
      </c>
    </row>
    <row r="62" spans="1:12" ht="20.100000000000001" customHeight="1" x14ac:dyDescent="0.25">
      <c r="A62" s="12" t="s">
        <v>1362</v>
      </c>
      <c r="B62" s="13">
        <v>13768424</v>
      </c>
      <c r="C62" s="8">
        <v>96675807624</v>
      </c>
      <c r="D62" s="6" t="s">
        <v>1138</v>
      </c>
      <c r="E62" s="18">
        <v>2</v>
      </c>
      <c r="F62" s="14">
        <v>44.99</v>
      </c>
      <c r="G62" s="14">
        <v>89.98</v>
      </c>
      <c r="H62" s="7" t="s">
        <v>941</v>
      </c>
      <c r="I62" s="7" t="s">
        <v>942</v>
      </c>
      <c r="J62" s="7" t="s">
        <v>1070</v>
      </c>
      <c r="K62" s="7" t="str">
        <f>HYPERLINK("http://slimages.macys.com/is/image/MCY/3208067 ")</f>
        <v xml:space="preserve">http://slimages.macys.com/is/image/MCY/3208067 </v>
      </c>
    </row>
    <row r="63" spans="1:12" ht="20.100000000000001" customHeight="1" x14ac:dyDescent="0.25">
      <c r="A63" s="12" t="s">
        <v>1362</v>
      </c>
      <c r="B63" s="13">
        <v>13768424</v>
      </c>
      <c r="C63" s="8">
        <v>96675807624</v>
      </c>
      <c r="D63" s="6" t="s">
        <v>1138</v>
      </c>
      <c r="E63" s="18">
        <v>2</v>
      </c>
      <c r="F63" s="14">
        <v>44.99</v>
      </c>
      <c r="G63" s="14">
        <v>89.98</v>
      </c>
      <c r="H63" s="7" t="s">
        <v>941</v>
      </c>
      <c r="I63" s="7" t="s">
        <v>942</v>
      </c>
      <c r="J63" s="7" t="s">
        <v>1070</v>
      </c>
      <c r="K63" s="7" t="str">
        <f>HYPERLINK("http://slimages.macys.com/is/image/MCY/3208067 ")</f>
        <v xml:space="preserve">http://slimages.macys.com/is/image/MCY/3208067 </v>
      </c>
    </row>
    <row r="64" spans="1:12" ht="20.100000000000001" customHeight="1" x14ac:dyDescent="0.25">
      <c r="A64" s="12" t="s">
        <v>1362</v>
      </c>
      <c r="B64" s="13">
        <v>13768424</v>
      </c>
      <c r="C64" s="8">
        <v>99446773326</v>
      </c>
      <c r="D64" s="6" t="s">
        <v>678</v>
      </c>
      <c r="E64" s="18">
        <v>1</v>
      </c>
      <c r="F64" s="14">
        <v>14.99</v>
      </c>
      <c r="G64" s="14">
        <v>14.99</v>
      </c>
      <c r="H64" s="7"/>
      <c r="I64" s="7" t="s">
        <v>958</v>
      </c>
      <c r="J64" s="7" t="s">
        <v>1361</v>
      </c>
      <c r="K64" s="7" t="str">
        <f>HYPERLINK("http://slimages.macys.com/is/image/MCY/16911702 ")</f>
        <v xml:space="preserve">http://slimages.macys.com/is/image/MCY/16911702 </v>
      </c>
    </row>
    <row r="65" spans="1:11" ht="20.100000000000001" customHeight="1" x14ac:dyDescent="0.25">
      <c r="A65" s="12" t="s">
        <v>1362</v>
      </c>
      <c r="B65" s="13">
        <v>13768424</v>
      </c>
      <c r="C65" s="8">
        <v>190945014764</v>
      </c>
      <c r="D65" s="6" t="s">
        <v>679</v>
      </c>
      <c r="E65" s="18">
        <v>1</v>
      </c>
      <c r="F65" s="14">
        <v>191.99</v>
      </c>
      <c r="G65" s="14">
        <v>191.99</v>
      </c>
      <c r="H65" s="7" t="s">
        <v>1126</v>
      </c>
      <c r="I65" s="7" t="s">
        <v>947</v>
      </c>
      <c r="J65" s="7" t="s">
        <v>1031</v>
      </c>
      <c r="K65" s="7" t="str">
        <f>HYPERLINK("http://slimages.macys.com/is/image/MCY/11629791 ")</f>
        <v xml:space="preserve">http://slimages.macys.com/is/image/MCY/11629791 </v>
      </c>
    </row>
    <row r="66" spans="1:11" ht="20.100000000000001" customHeight="1" x14ac:dyDescent="0.25">
      <c r="A66" s="12" t="s">
        <v>1362</v>
      </c>
      <c r="B66" s="13">
        <v>13768424</v>
      </c>
      <c r="C66" s="8">
        <v>190945109170</v>
      </c>
      <c r="D66" s="6" t="s">
        <v>680</v>
      </c>
      <c r="E66" s="18">
        <v>1</v>
      </c>
      <c r="F66" s="14">
        <v>39.99</v>
      </c>
      <c r="G66" s="14">
        <v>39.99</v>
      </c>
      <c r="H66" s="7" t="s">
        <v>1082</v>
      </c>
      <c r="I66" s="7" t="s">
        <v>947</v>
      </c>
      <c r="J66" s="7" t="s">
        <v>1031</v>
      </c>
      <c r="K66" s="7" t="str">
        <f>HYPERLINK("http://slimages.macys.com/is/image/MCY/17220844 ")</f>
        <v xml:space="preserve">http://slimages.macys.com/is/image/MCY/17220844 </v>
      </c>
    </row>
    <row r="67" spans="1:11" ht="20.100000000000001" customHeight="1" x14ac:dyDescent="0.25">
      <c r="A67" s="12" t="s">
        <v>1362</v>
      </c>
      <c r="B67" s="13">
        <v>13768424</v>
      </c>
      <c r="C67" s="8">
        <v>191790024359</v>
      </c>
      <c r="D67" s="6" t="s">
        <v>1415</v>
      </c>
      <c r="E67" s="18">
        <v>1</v>
      </c>
      <c r="F67" s="14">
        <v>59.99</v>
      </c>
      <c r="G67" s="14">
        <v>59.99</v>
      </c>
      <c r="H67" s="7" t="s">
        <v>941</v>
      </c>
      <c r="I67" s="7" t="s">
        <v>939</v>
      </c>
      <c r="J67" s="7" t="s">
        <v>986</v>
      </c>
      <c r="K67" s="7" t="str">
        <f>HYPERLINK("http://slimages.macys.com/is/image/MCY/13036438 ")</f>
        <v xml:space="preserve">http://slimages.macys.com/is/image/MCY/13036438 </v>
      </c>
    </row>
    <row r="68" spans="1:11" ht="20.100000000000001" customHeight="1" x14ac:dyDescent="0.25">
      <c r="A68" s="12" t="s">
        <v>1362</v>
      </c>
      <c r="B68" s="13">
        <v>13768424</v>
      </c>
      <c r="C68" s="8">
        <v>191790024359</v>
      </c>
      <c r="D68" s="6" t="s">
        <v>1415</v>
      </c>
      <c r="E68" s="18">
        <v>1</v>
      </c>
      <c r="F68" s="14">
        <v>59.99</v>
      </c>
      <c r="G68" s="14">
        <v>59.99</v>
      </c>
      <c r="H68" s="7" t="s">
        <v>941</v>
      </c>
      <c r="I68" s="7" t="s">
        <v>939</v>
      </c>
      <c r="J68" s="7" t="s">
        <v>986</v>
      </c>
      <c r="K68" s="7" t="str">
        <f>HYPERLINK("http://slimages.macys.com/is/image/MCY/13036438 ")</f>
        <v xml:space="preserve">http://slimages.macys.com/is/image/MCY/13036438 </v>
      </c>
    </row>
    <row r="69" spans="1:11" ht="20.100000000000001" customHeight="1" x14ac:dyDescent="0.25">
      <c r="A69" s="12" t="s">
        <v>1362</v>
      </c>
      <c r="B69" s="13">
        <v>13768424</v>
      </c>
      <c r="C69" s="8">
        <v>191790041073</v>
      </c>
      <c r="D69" s="6" t="s">
        <v>681</v>
      </c>
      <c r="E69" s="18">
        <v>1</v>
      </c>
      <c r="F69" s="14">
        <v>49.99</v>
      </c>
      <c r="G69" s="14">
        <v>49.99</v>
      </c>
      <c r="H69" s="7" t="s">
        <v>952</v>
      </c>
      <c r="I69" s="7" t="s">
        <v>939</v>
      </c>
      <c r="J69" s="7" t="s">
        <v>986</v>
      </c>
      <c r="K69" s="7" t="str">
        <f>HYPERLINK("http://slimages.macys.com/is/image/MCY/17968749 ")</f>
        <v xml:space="preserve">http://slimages.macys.com/is/image/MCY/17968749 </v>
      </c>
    </row>
    <row r="70" spans="1:11" ht="20.100000000000001" customHeight="1" x14ac:dyDescent="0.25">
      <c r="A70" s="12" t="s">
        <v>1362</v>
      </c>
      <c r="B70" s="13">
        <v>13768424</v>
      </c>
      <c r="C70" s="8">
        <v>191790044715</v>
      </c>
      <c r="D70" s="6" t="s">
        <v>682</v>
      </c>
      <c r="E70" s="18">
        <v>3</v>
      </c>
      <c r="F70" s="14">
        <v>49.99</v>
      </c>
      <c r="G70" s="14">
        <v>149.97</v>
      </c>
      <c r="H70" s="7" t="s">
        <v>941</v>
      </c>
      <c r="I70" s="7" t="s">
        <v>939</v>
      </c>
      <c r="J70" s="7" t="s">
        <v>986</v>
      </c>
      <c r="K70" s="7" t="str">
        <f>HYPERLINK("http://slimages.macys.com/is/image/MCY/18482850 ")</f>
        <v xml:space="preserve">http://slimages.macys.com/is/image/MCY/18482850 </v>
      </c>
    </row>
    <row r="71" spans="1:11" ht="20.100000000000001" customHeight="1" x14ac:dyDescent="0.25">
      <c r="A71" s="12" t="s">
        <v>1362</v>
      </c>
      <c r="B71" s="13">
        <v>13768424</v>
      </c>
      <c r="C71" s="8">
        <v>191790044753</v>
      </c>
      <c r="D71" s="6" t="s">
        <v>683</v>
      </c>
      <c r="E71" s="18">
        <v>1</v>
      </c>
      <c r="F71" s="14">
        <v>49.99</v>
      </c>
      <c r="G71" s="14">
        <v>49.99</v>
      </c>
      <c r="H71" s="7" t="s">
        <v>941</v>
      </c>
      <c r="I71" s="7" t="s">
        <v>939</v>
      </c>
      <c r="J71" s="7" t="s">
        <v>986</v>
      </c>
      <c r="K71" s="7" t="str">
        <f>HYPERLINK("http://slimages.macys.com/is/image/MCY/18482856 ")</f>
        <v xml:space="preserve">http://slimages.macys.com/is/image/MCY/18482856 </v>
      </c>
    </row>
    <row r="72" spans="1:11" ht="20.100000000000001" customHeight="1" x14ac:dyDescent="0.25">
      <c r="A72" s="12" t="s">
        <v>1362</v>
      </c>
      <c r="B72" s="13">
        <v>13768424</v>
      </c>
      <c r="C72" s="8">
        <v>191790044784</v>
      </c>
      <c r="D72" s="6" t="s">
        <v>684</v>
      </c>
      <c r="E72" s="18">
        <v>1</v>
      </c>
      <c r="F72" s="14">
        <v>49.99</v>
      </c>
      <c r="G72" s="14">
        <v>49.99</v>
      </c>
      <c r="H72" s="7" t="s">
        <v>944</v>
      </c>
      <c r="I72" s="7" t="s">
        <v>939</v>
      </c>
      <c r="J72" s="7" t="s">
        <v>986</v>
      </c>
      <c r="K72" s="7" t="str">
        <f>HYPERLINK("http://slimages.macys.com/is/image/MCY/18482856 ")</f>
        <v xml:space="preserve">http://slimages.macys.com/is/image/MCY/18482856 </v>
      </c>
    </row>
    <row r="73" spans="1:11" ht="20.100000000000001" customHeight="1" x14ac:dyDescent="0.25">
      <c r="A73" s="12" t="s">
        <v>1362</v>
      </c>
      <c r="B73" s="13">
        <v>13768424</v>
      </c>
      <c r="C73" s="8">
        <v>193842108703</v>
      </c>
      <c r="D73" s="6" t="s">
        <v>685</v>
      </c>
      <c r="E73" s="18">
        <v>1</v>
      </c>
      <c r="F73" s="14">
        <v>402</v>
      </c>
      <c r="G73" s="14">
        <v>402</v>
      </c>
      <c r="H73" s="7" t="s">
        <v>1062</v>
      </c>
      <c r="I73" s="7" t="s">
        <v>966</v>
      </c>
      <c r="J73" s="7" t="s">
        <v>967</v>
      </c>
      <c r="K73" s="7" t="str">
        <f>HYPERLINK("http://slimages.macys.com/is/image/MCY/17170427 ")</f>
        <v xml:space="preserve">http://slimages.macys.com/is/image/MCY/17170427 </v>
      </c>
    </row>
    <row r="74" spans="1:11" ht="20.100000000000001" customHeight="1" x14ac:dyDescent="0.25">
      <c r="A74" s="12" t="s">
        <v>1362</v>
      </c>
      <c r="B74" s="13">
        <v>13768424</v>
      </c>
      <c r="C74" s="8">
        <v>194590000172</v>
      </c>
      <c r="D74" s="6" t="s">
        <v>686</v>
      </c>
      <c r="E74" s="18">
        <v>1</v>
      </c>
      <c r="F74" s="14">
        <v>26.99</v>
      </c>
      <c r="G74" s="14">
        <v>26.99</v>
      </c>
      <c r="H74" s="7" t="s">
        <v>987</v>
      </c>
      <c r="I74" s="7" t="s">
        <v>947</v>
      </c>
      <c r="J74" s="7" t="s">
        <v>977</v>
      </c>
      <c r="K74" s="7" t="str">
        <f>HYPERLINK("http://slimages.macys.com/is/image/MCY/16646692 ")</f>
        <v xml:space="preserve">http://slimages.macys.com/is/image/MCY/16646692 </v>
      </c>
    </row>
    <row r="75" spans="1:11" ht="20.100000000000001" customHeight="1" x14ac:dyDescent="0.25">
      <c r="A75" s="12" t="s">
        <v>1362</v>
      </c>
      <c r="B75" s="13">
        <v>13768424</v>
      </c>
      <c r="C75" s="8">
        <v>195425012582</v>
      </c>
      <c r="D75" s="6" t="s">
        <v>687</v>
      </c>
      <c r="E75" s="18">
        <v>1</v>
      </c>
      <c r="F75" s="14">
        <v>69.989999999999995</v>
      </c>
      <c r="G75" s="14">
        <v>69.989999999999995</v>
      </c>
      <c r="H75" s="7" t="s">
        <v>941</v>
      </c>
      <c r="I75" s="7" t="s">
        <v>961</v>
      </c>
      <c r="J75" s="7" t="s">
        <v>1085</v>
      </c>
      <c r="K75" s="7" t="str">
        <f>HYPERLINK("http://slimages.macys.com/is/image/MCY/18455689 ")</f>
        <v xml:space="preserve">http://slimages.macys.com/is/image/MCY/18455689 </v>
      </c>
    </row>
    <row r="76" spans="1:11" ht="20.100000000000001" customHeight="1" x14ac:dyDescent="0.25">
      <c r="A76" s="12" t="s">
        <v>1362</v>
      </c>
      <c r="B76" s="13">
        <v>13768424</v>
      </c>
      <c r="C76" s="8">
        <v>602545186531</v>
      </c>
      <c r="D76" s="6" t="s">
        <v>688</v>
      </c>
      <c r="E76" s="18">
        <v>1</v>
      </c>
      <c r="F76" s="14">
        <v>46.99</v>
      </c>
      <c r="G76" s="14">
        <v>46.99</v>
      </c>
      <c r="H76" s="7" t="s">
        <v>1217</v>
      </c>
      <c r="I76" s="7" t="s">
        <v>958</v>
      </c>
      <c r="J76" s="7" t="s">
        <v>973</v>
      </c>
      <c r="K76" s="7" t="str">
        <f>HYPERLINK("http://slimages.macys.com/is/image/MCY/12442728 ")</f>
        <v xml:space="preserve">http://slimages.macys.com/is/image/MCY/12442728 </v>
      </c>
    </row>
    <row r="77" spans="1:11" ht="20.100000000000001" customHeight="1" x14ac:dyDescent="0.25">
      <c r="A77" s="12" t="s">
        <v>1362</v>
      </c>
      <c r="B77" s="13">
        <v>13768424</v>
      </c>
      <c r="C77" s="8">
        <v>602545448011</v>
      </c>
      <c r="D77" s="6" t="s">
        <v>689</v>
      </c>
      <c r="E77" s="18">
        <v>1</v>
      </c>
      <c r="F77" s="14">
        <v>68.989999999999995</v>
      </c>
      <c r="G77" s="14">
        <v>68.989999999999995</v>
      </c>
      <c r="H77" s="7" t="s">
        <v>991</v>
      </c>
      <c r="I77" s="7" t="s">
        <v>958</v>
      </c>
      <c r="J77" s="7" t="s">
        <v>973</v>
      </c>
      <c r="K77" s="7" t="str">
        <f>HYPERLINK("http://slimages.macys.com/is/image/MCY/12491504 ")</f>
        <v xml:space="preserve">http://slimages.macys.com/is/image/MCY/12491504 </v>
      </c>
    </row>
    <row r="78" spans="1:11" ht="20.100000000000001" customHeight="1" x14ac:dyDescent="0.25">
      <c r="A78" s="12" t="s">
        <v>1362</v>
      </c>
      <c r="B78" s="13">
        <v>13768424</v>
      </c>
      <c r="C78" s="8">
        <v>608356984458</v>
      </c>
      <c r="D78" s="6" t="s">
        <v>690</v>
      </c>
      <c r="E78" s="18">
        <v>1</v>
      </c>
      <c r="F78" s="14">
        <v>94.99</v>
      </c>
      <c r="G78" s="14">
        <v>94.99</v>
      </c>
      <c r="H78" s="7" t="s">
        <v>938</v>
      </c>
      <c r="I78" s="7" t="s">
        <v>956</v>
      </c>
      <c r="J78" s="7" t="s">
        <v>1028</v>
      </c>
      <c r="K78" s="7" t="str">
        <f>HYPERLINK("http://slimages.macys.com/is/image/MCY/8182285 ")</f>
        <v xml:space="preserve">http://slimages.macys.com/is/image/MCY/8182285 </v>
      </c>
    </row>
    <row r="79" spans="1:11" ht="20.100000000000001" customHeight="1" x14ac:dyDescent="0.25">
      <c r="A79" s="12" t="s">
        <v>1362</v>
      </c>
      <c r="B79" s="13">
        <v>13768424</v>
      </c>
      <c r="C79" s="8">
        <v>608381671231</v>
      </c>
      <c r="D79" s="6" t="s">
        <v>691</v>
      </c>
      <c r="E79" s="18">
        <v>3</v>
      </c>
      <c r="F79" s="14">
        <v>79.989999999999995</v>
      </c>
      <c r="G79" s="14">
        <v>239.97</v>
      </c>
      <c r="H79" s="7" t="s">
        <v>1062</v>
      </c>
      <c r="I79" s="7" t="s">
        <v>956</v>
      </c>
      <c r="J79" s="7" t="s">
        <v>1014</v>
      </c>
      <c r="K79" s="7" t="str">
        <f>HYPERLINK("http://slimages.macys.com/is/image/MCY/9952509 ")</f>
        <v xml:space="preserve">http://slimages.macys.com/is/image/MCY/9952509 </v>
      </c>
    </row>
    <row r="80" spans="1:11" ht="20.100000000000001" customHeight="1" x14ac:dyDescent="0.25">
      <c r="A80" s="12" t="s">
        <v>1362</v>
      </c>
      <c r="B80" s="13">
        <v>13768424</v>
      </c>
      <c r="C80" s="8">
        <v>628961003788</v>
      </c>
      <c r="D80" s="6" t="s">
        <v>692</v>
      </c>
      <c r="E80" s="18">
        <v>2</v>
      </c>
      <c r="F80" s="14">
        <v>29.99</v>
      </c>
      <c r="G80" s="14">
        <v>59.98</v>
      </c>
      <c r="H80" s="7" t="s">
        <v>952</v>
      </c>
      <c r="I80" s="7" t="s">
        <v>939</v>
      </c>
      <c r="J80" s="7" t="s">
        <v>1150</v>
      </c>
      <c r="K80" s="7" t="str">
        <f>HYPERLINK("http://slimages.macys.com/is/image/MCY/18703112 ")</f>
        <v xml:space="preserve">http://slimages.macys.com/is/image/MCY/18703112 </v>
      </c>
    </row>
    <row r="81" spans="1:11" ht="20.100000000000001" customHeight="1" x14ac:dyDescent="0.25">
      <c r="A81" s="12" t="s">
        <v>1362</v>
      </c>
      <c r="B81" s="13">
        <v>13768424</v>
      </c>
      <c r="C81" s="8">
        <v>628961004310</v>
      </c>
      <c r="D81" s="6" t="s">
        <v>693</v>
      </c>
      <c r="E81" s="18">
        <v>1</v>
      </c>
      <c r="F81" s="14">
        <v>49.99</v>
      </c>
      <c r="G81" s="14">
        <v>49.99</v>
      </c>
      <c r="H81" s="7" t="s">
        <v>976</v>
      </c>
      <c r="I81" s="7" t="s">
        <v>939</v>
      </c>
      <c r="J81" s="7" t="s">
        <v>1150</v>
      </c>
      <c r="K81" s="7" t="str">
        <f>HYPERLINK("http://slimages.macys.com/is/image/MCY/19106475 ")</f>
        <v xml:space="preserve">http://slimages.macys.com/is/image/MCY/19106475 </v>
      </c>
    </row>
    <row r="82" spans="1:11" ht="20.100000000000001" customHeight="1" x14ac:dyDescent="0.25">
      <c r="A82" s="12" t="s">
        <v>1362</v>
      </c>
      <c r="B82" s="13">
        <v>13768424</v>
      </c>
      <c r="C82" s="8">
        <v>635983499611</v>
      </c>
      <c r="D82" s="6" t="s">
        <v>940</v>
      </c>
      <c r="E82" s="18">
        <v>2</v>
      </c>
      <c r="F82" s="14">
        <v>79.989999999999995</v>
      </c>
      <c r="G82" s="14">
        <v>159.97999999999999</v>
      </c>
      <c r="H82" s="7" t="s">
        <v>941</v>
      </c>
      <c r="I82" s="7" t="s">
        <v>942</v>
      </c>
      <c r="J82" s="7" t="s">
        <v>943</v>
      </c>
      <c r="K82" s="7" t="str">
        <f>HYPERLINK("http://slimages.macys.com/is/image/MCY/11798194 ")</f>
        <v xml:space="preserve">http://slimages.macys.com/is/image/MCY/11798194 </v>
      </c>
    </row>
    <row r="83" spans="1:11" ht="20.100000000000001" customHeight="1" x14ac:dyDescent="0.25">
      <c r="A83" s="12" t="s">
        <v>1362</v>
      </c>
      <c r="B83" s="13">
        <v>13768424</v>
      </c>
      <c r="C83" s="8">
        <v>636193128278</v>
      </c>
      <c r="D83" s="6" t="s">
        <v>694</v>
      </c>
      <c r="E83" s="18">
        <v>1</v>
      </c>
      <c r="F83" s="14">
        <v>49.99</v>
      </c>
      <c r="G83" s="14">
        <v>49.99</v>
      </c>
      <c r="H83" s="7" t="s">
        <v>997</v>
      </c>
      <c r="I83" s="7" t="s">
        <v>971</v>
      </c>
      <c r="J83" s="7" t="s">
        <v>972</v>
      </c>
      <c r="K83" s="7" t="str">
        <f>HYPERLINK("http://slimages.macys.com/is/image/MCY/13285480 ")</f>
        <v xml:space="preserve">http://slimages.macys.com/is/image/MCY/13285480 </v>
      </c>
    </row>
    <row r="84" spans="1:11" ht="20.100000000000001" customHeight="1" x14ac:dyDescent="0.25">
      <c r="A84" s="12" t="s">
        <v>1362</v>
      </c>
      <c r="B84" s="13">
        <v>13768424</v>
      </c>
      <c r="C84" s="8">
        <v>636202045404</v>
      </c>
      <c r="D84" s="6" t="s">
        <v>1251</v>
      </c>
      <c r="E84" s="18">
        <v>3</v>
      </c>
      <c r="F84" s="14">
        <v>24.99</v>
      </c>
      <c r="G84" s="14">
        <v>74.97</v>
      </c>
      <c r="H84" s="7" t="s">
        <v>952</v>
      </c>
      <c r="I84" s="7" t="s">
        <v>971</v>
      </c>
      <c r="J84" s="7" t="s">
        <v>972</v>
      </c>
      <c r="K84" s="7" t="str">
        <f>HYPERLINK("http://slimages.macys.com/is/image/MCY/14322102 ")</f>
        <v xml:space="preserve">http://slimages.macys.com/is/image/MCY/14322102 </v>
      </c>
    </row>
    <row r="85" spans="1:11" ht="20.100000000000001" customHeight="1" x14ac:dyDescent="0.25">
      <c r="A85" s="12" t="s">
        <v>1362</v>
      </c>
      <c r="B85" s="13">
        <v>13768424</v>
      </c>
      <c r="C85" s="8">
        <v>636202045565</v>
      </c>
      <c r="D85" s="6" t="s">
        <v>695</v>
      </c>
      <c r="E85" s="18">
        <v>1</v>
      </c>
      <c r="F85" s="14">
        <v>12.99</v>
      </c>
      <c r="G85" s="14">
        <v>12.99</v>
      </c>
      <c r="H85" s="7" t="s">
        <v>952</v>
      </c>
      <c r="I85" s="7" t="s">
        <v>971</v>
      </c>
      <c r="J85" s="7" t="s">
        <v>972</v>
      </c>
      <c r="K85" s="7" t="str">
        <f>HYPERLINK("http://slimages.macys.com/is/image/MCY/14322106 ")</f>
        <v xml:space="preserve">http://slimages.macys.com/is/image/MCY/14322106 </v>
      </c>
    </row>
    <row r="86" spans="1:11" ht="20.100000000000001" customHeight="1" x14ac:dyDescent="0.25">
      <c r="A86" s="12" t="s">
        <v>1362</v>
      </c>
      <c r="B86" s="13">
        <v>13768424</v>
      </c>
      <c r="C86" s="8">
        <v>636206071829</v>
      </c>
      <c r="D86" s="6" t="s">
        <v>1367</v>
      </c>
      <c r="E86" s="18">
        <v>1</v>
      </c>
      <c r="F86" s="14">
        <v>299.99</v>
      </c>
      <c r="G86" s="14">
        <v>299.99</v>
      </c>
      <c r="H86" s="7" t="s">
        <v>976</v>
      </c>
      <c r="I86" s="7" t="s">
        <v>956</v>
      </c>
      <c r="J86" s="7" t="s">
        <v>1014</v>
      </c>
      <c r="K86" s="7" t="str">
        <f>HYPERLINK("http://slimages.macys.com/is/image/MCY/10467368 ")</f>
        <v xml:space="preserve">http://slimages.macys.com/is/image/MCY/10467368 </v>
      </c>
    </row>
    <row r="87" spans="1:11" ht="20.100000000000001" customHeight="1" x14ac:dyDescent="0.25">
      <c r="A87" s="12" t="s">
        <v>1362</v>
      </c>
      <c r="B87" s="13">
        <v>13768424</v>
      </c>
      <c r="C87" s="8">
        <v>636206783722</v>
      </c>
      <c r="D87" s="6" t="s">
        <v>696</v>
      </c>
      <c r="E87" s="18">
        <v>1</v>
      </c>
      <c r="F87" s="14">
        <v>109.99</v>
      </c>
      <c r="G87" s="14">
        <v>109.99</v>
      </c>
      <c r="H87" s="7" t="s">
        <v>941</v>
      </c>
      <c r="I87" s="7" t="s">
        <v>956</v>
      </c>
      <c r="J87" s="7" t="s">
        <v>1109</v>
      </c>
      <c r="K87" s="7" t="str">
        <f>HYPERLINK("http://slimages.macys.com/is/image/MCY/8315204 ")</f>
        <v xml:space="preserve">http://slimages.macys.com/is/image/MCY/8315204 </v>
      </c>
    </row>
    <row r="88" spans="1:11" ht="20.100000000000001" customHeight="1" x14ac:dyDescent="0.25">
      <c r="A88" s="12" t="s">
        <v>1362</v>
      </c>
      <c r="B88" s="13">
        <v>13768424</v>
      </c>
      <c r="C88" s="8">
        <v>646760135813</v>
      </c>
      <c r="D88" s="6" t="s">
        <v>1368</v>
      </c>
      <c r="E88" s="18">
        <v>1</v>
      </c>
      <c r="F88" s="14">
        <v>179.99</v>
      </c>
      <c r="G88" s="14">
        <v>179.99</v>
      </c>
      <c r="H88" s="7" t="s">
        <v>941</v>
      </c>
      <c r="I88" s="7" t="s">
        <v>1003</v>
      </c>
      <c r="J88" s="7" t="s">
        <v>1004</v>
      </c>
      <c r="K88" s="7" t="str">
        <f>HYPERLINK("http://slimages.macys.com/is/image/MCY/15798626 ")</f>
        <v xml:space="preserve">http://slimages.macys.com/is/image/MCY/15798626 </v>
      </c>
    </row>
    <row r="89" spans="1:11" ht="20.100000000000001" customHeight="1" x14ac:dyDescent="0.25">
      <c r="A89" s="12" t="s">
        <v>1362</v>
      </c>
      <c r="B89" s="13">
        <v>13768424</v>
      </c>
      <c r="C89" s="8">
        <v>646998692645</v>
      </c>
      <c r="D89" s="6" t="s">
        <v>697</v>
      </c>
      <c r="E89" s="18">
        <v>1</v>
      </c>
      <c r="F89" s="14">
        <v>77.989999999999995</v>
      </c>
      <c r="G89" s="14">
        <v>77.989999999999995</v>
      </c>
      <c r="H89" s="7" t="s">
        <v>997</v>
      </c>
      <c r="I89" s="7" t="s">
        <v>947</v>
      </c>
      <c r="J89" s="7" t="s">
        <v>1019</v>
      </c>
      <c r="K89" s="7" t="str">
        <f>HYPERLINK("http://slimages.macys.com/is/image/MCY/16494319 ")</f>
        <v xml:space="preserve">http://slimages.macys.com/is/image/MCY/16494319 </v>
      </c>
    </row>
    <row r="90" spans="1:11" ht="20.100000000000001" customHeight="1" x14ac:dyDescent="0.25">
      <c r="A90" s="12" t="s">
        <v>1362</v>
      </c>
      <c r="B90" s="13">
        <v>13768424</v>
      </c>
      <c r="C90" s="8">
        <v>651896652219</v>
      </c>
      <c r="D90" s="6" t="s">
        <v>1369</v>
      </c>
      <c r="E90" s="18">
        <v>2</v>
      </c>
      <c r="F90" s="14">
        <v>24.99</v>
      </c>
      <c r="G90" s="14">
        <v>49.98</v>
      </c>
      <c r="H90" s="7" t="s">
        <v>1026</v>
      </c>
      <c r="I90" s="7" t="s">
        <v>947</v>
      </c>
      <c r="J90" s="7" t="s">
        <v>1248</v>
      </c>
      <c r="K90" s="7" t="str">
        <f>HYPERLINK("http://slimages.macys.com/is/image/MCY/18772609 ")</f>
        <v xml:space="preserve">http://slimages.macys.com/is/image/MCY/18772609 </v>
      </c>
    </row>
    <row r="91" spans="1:11" ht="20.100000000000001" customHeight="1" x14ac:dyDescent="0.25">
      <c r="A91" s="12" t="s">
        <v>1362</v>
      </c>
      <c r="B91" s="13">
        <v>13768424</v>
      </c>
      <c r="C91" s="8">
        <v>651896652226</v>
      </c>
      <c r="D91" s="6" t="s">
        <v>1265</v>
      </c>
      <c r="E91" s="18">
        <v>5</v>
      </c>
      <c r="F91" s="14">
        <v>24.99</v>
      </c>
      <c r="G91" s="14">
        <v>124.95</v>
      </c>
      <c r="H91" s="7" t="s">
        <v>1068</v>
      </c>
      <c r="I91" s="7" t="s">
        <v>947</v>
      </c>
      <c r="J91" s="7" t="s">
        <v>1248</v>
      </c>
      <c r="K91" s="7" t="str">
        <f>HYPERLINK("http://slimages.macys.com/is/image/MCY/18772611 ")</f>
        <v xml:space="preserve">http://slimages.macys.com/is/image/MCY/18772611 </v>
      </c>
    </row>
    <row r="92" spans="1:11" ht="20.100000000000001" customHeight="1" x14ac:dyDescent="0.25">
      <c r="A92" s="12" t="s">
        <v>1362</v>
      </c>
      <c r="B92" s="13">
        <v>13768424</v>
      </c>
      <c r="C92" s="8">
        <v>655385025591</v>
      </c>
      <c r="D92" s="6" t="s">
        <v>698</v>
      </c>
      <c r="E92" s="18">
        <v>1</v>
      </c>
      <c r="F92" s="14">
        <v>22.99</v>
      </c>
      <c r="G92" s="14">
        <v>22.99</v>
      </c>
      <c r="H92" s="7" t="s">
        <v>941</v>
      </c>
      <c r="I92" s="7" t="s">
        <v>939</v>
      </c>
      <c r="J92" s="7" t="s">
        <v>964</v>
      </c>
      <c r="K92" s="7" t="str">
        <f>HYPERLINK("http://slimages.macys.com/is/image/MCY/12157429 ")</f>
        <v xml:space="preserve">http://slimages.macys.com/is/image/MCY/12157429 </v>
      </c>
    </row>
    <row r="93" spans="1:11" ht="20.100000000000001" customHeight="1" x14ac:dyDescent="0.25">
      <c r="A93" s="12" t="s">
        <v>1362</v>
      </c>
      <c r="B93" s="13">
        <v>13768424</v>
      </c>
      <c r="C93" s="8">
        <v>655385136440</v>
      </c>
      <c r="D93" s="6" t="s">
        <v>699</v>
      </c>
      <c r="E93" s="18">
        <v>1</v>
      </c>
      <c r="F93" s="14">
        <v>15.99</v>
      </c>
      <c r="G93" s="14">
        <v>15.99</v>
      </c>
      <c r="H93" s="7" t="s">
        <v>965</v>
      </c>
      <c r="I93" s="7" t="s">
        <v>939</v>
      </c>
      <c r="J93" s="7" t="s">
        <v>964</v>
      </c>
      <c r="K93" s="7" t="str">
        <f>HYPERLINK("http://slimages.macys.com/is/image/MCY/9846894 ")</f>
        <v xml:space="preserve">http://slimages.macys.com/is/image/MCY/9846894 </v>
      </c>
    </row>
    <row r="94" spans="1:11" ht="20.100000000000001" customHeight="1" x14ac:dyDescent="0.25">
      <c r="A94" s="12" t="s">
        <v>1362</v>
      </c>
      <c r="B94" s="13">
        <v>13768424</v>
      </c>
      <c r="C94" s="8">
        <v>655431004822</v>
      </c>
      <c r="D94" s="6" t="s">
        <v>700</v>
      </c>
      <c r="E94" s="18">
        <v>1</v>
      </c>
      <c r="F94" s="14">
        <v>27.99</v>
      </c>
      <c r="G94" s="14">
        <v>27.99</v>
      </c>
      <c r="H94" s="7" t="s">
        <v>952</v>
      </c>
      <c r="I94" s="7" t="s">
        <v>958</v>
      </c>
      <c r="J94" s="7" t="s">
        <v>1185</v>
      </c>
      <c r="K94" s="7" t="str">
        <f>HYPERLINK("http://slimages.macys.com/is/image/MCY/14411974 ")</f>
        <v xml:space="preserve">http://slimages.macys.com/is/image/MCY/14411974 </v>
      </c>
    </row>
    <row r="95" spans="1:11" ht="20.100000000000001" customHeight="1" x14ac:dyDescent="0.25">
      <c r="A95" s="12" t="s">
        <v>1362</v>
      </c>
      <c r="B95" s="13">
        <v>13768424</v>
      </c>
      <c r="C95" s="8">
        <v>671826908520</v>
      </c>
      <c r="D95" s="6" t="s">
        <v>1417</v>
      </c>
      <c r="E95" s="18">
        <v>1</v>
      </c>
      <c r="F95" s="14">
        <v>67.989999999999995</v>
      </c>
      <c r="G95" s="14">
        <v>67.989999999999995</v>
      </c>
      <c r="H95" s="7" t="s">
        <v>1056</v>
      </c>
      <c r="I95" s="7" t="s">
        <v>947</v>
      </c>
      <c r="J95" s="7" t="s">
        <v>1112</v>
      </c>
      <c r="K95" s="7" t="str">
        <f>HYPERLINK("http://slimages.macys.com/is/image/MCY/12471149 ")</f>
        <v xml:space="preserve">http://slimages.macys.com/is/image/MCY/12471149 </v>
      </c>
    </row>
    <row r="96" spans="1:11" ht="20.100000000000001" customHeight="1" x14ac:dyDescent="0.25">
      <c r="A96" s="12" t="s">
        <v>1362</v>
      </c>
      <c r="B96" s="13">
        <v>13768424</v>
      </c>
      <c r="C96" s="8">
        <v>671826950000</v>
      </c>
      <c r="D96" s="6" t="s">
        <v>701</v>
      </c>
      <c r="E96" s="18">
        <v>3</v>
      </c>
      <c r="F96" s="14">
        <v>39.99</v>
      </c>
      <c r="G96" s="14">
        <v>119.97</v>
      </c>
      <c r="H96" s="7" t="s">
        <v>1013</v>
      </c>
      <c r="I96" s="7" t="s">
        <v>947</v>
      </c>
      <c r="J96" s="7" t="s">
        <v>1112</v>
      </c>
      <c r="K96" s="7" t="str">
        <f>HYPERLINK("http://slimages.macys.com/is/image/MCY/12471182 ")</f>
        <v xml:space="preserve">http://slimages.macys.com/is/image/MCY/12471182 </v>
      </c>
    </row>
    <row r="97" spans="1:11" ht="20.100000000000001" customHeight="1" x14ac:dyDescent="0.25">
      <c r="A97" s="12" t="s">
        <v>1362</v>
      </c>
      <c r="B97" s="13">
        <v>13768424</v>
      </c>
      <c r="C97" s="8">
        <v>671826973009</v>
      </c>
      <c r="D97" s="6" t="s">
        <v>702</v>
      </c>
      <c r="E97" s="18">
        <v>3</v>
      </c>
      <c r="F97" s="14">
        <v>43.99</v>
      </c>
      <c r="G97" s="14">
        <v>131.97</v>
      </c>
      <c r="H97" s="7" t="s">
        <v>968</v>
      </c>
      <c r="I97" s="7" t="s">
        <v>947</v>
      </c>
      <c r="J97" s="7" t="s">
        <v>1112</v>
      </c>
      <c r="K97" s="7" t="str">
        <f>HYPERLINK("http://slimages.macys.com/is/image/MCY/12307790 ")</f>
        <v xml:space="preserve">http://slimages.macys.com/is/image/MCY/12307790 </v>
      </c>
    </row>
    <row r="98" spans="1:11" ht="20.100000000000001" customHeight="1" x14ac:dyDescent="0.25">
      <c r="A98" s="12" t="s">
        <v>1362</v>
      </c>
      <c r="B98" s="13">
        <v>13768424</v>
      </c>
      <c r="C98" s="8">
        <v>675716510183</v>
      </c>
      <c r="D98" s="6" t="s">
        <v>703</v>
      </c>
      <c r="E98" s="18">
        <v>1</v>
      </c>
      <c r="F98" s="14">
        <v>159.99</v>
      </c>
      <c r="G98" s="14">
        <v>159.99</v>
      </c>
      <c r="H98" s="7" t="s">
        <v>984</v>
      </c>
      <c r="I98" s="7" t="s">
        <v>945</v>
      </c>
      <c r="J98" s="7" t="s">
        <v>955</v>
      </c>
      <c r="K98" s="7" t="str">
        <f>HYPERLINK("http://slimages.macys.com/is/image/MCY/8930125 ")</f>
        <v xml:space="preserve">http://slimages.macys.com/is/image/MCY/8930125 </v>
      </c>
    </row>
    <row r="99" spans="1:11" ht="20.100000000000001" customHeight="1" x14ac:dyDescent="0.25">
      <c r="A99" s="12" t="s">
        <v>1362</v>
      </c>
      <c r="B99" s="13">
        <v>13768424</v>
      </c>
      <c r="C99" s="8">
        <v>675716556433</v>
      </c>
      <c r="D99" s="6" t="s">
        <v>704</v>
      </c>
      <c r="E99" s="18">
        <v>1</v>
      </c>
      <c r="F99" s="14">
        <v>134.99</v>
      </c>
      <c r="G99" s="14">
        <v>134.99</v>
      </c>
      <c r="H99" s="7" t="s">
        <v>984</v>
      </c>
      <c r="I99" s="7" t="s">
        <v>945</v>
      </c>
      <c r="J99" s="7" t="s">
        <v>955</v>
      </c>
      <c r="K99" s="7" t="str">
        <f>HYPERLINK("http://slimages.macys.com/is/image/MCY/9627948 ")</f>
        <v xml:space="preserve">http://slimages.macys.com/is/image/MCY/9627948 </v>
      </c>
    </row>
    <row r="100" spans="1:11" ht="20.100000000000001" customHeight="1" x14ac:dyDescent="0.25">
      <c r="A100" s="12" t="s">
        <v>1362</v>
      </c>
      <c r="B100" s="13">
        <v>13768424</v>
      </c>
      <c r="C100" s="8">
        <v>675716653675</v>
      </c>
      <c r="D100" s="6" t="s">
        <v>705</v>
      </c>
      <c r="E100" s="18">
        <v>1</v>
      </c>
      <c r="F100" s="14">
        <v>129.99</v>
      </c>
      <c r="G100" s="14">
        <v>129.99</v>
      </c>
      <c r="H100" s="7" t="s">
        <v>941</v>
      </c>
      <c r="I100" s="7" t="s">
        <v>961</v>
      </c>
      <c r="J100" s="7" t="s">
        <v>955</v>
      </c>
      <c r="K100" s="7" t="str">
        <f>HYPERLINK("http://slimages.macys.com/is/image/MCY/8951293 ")</f>
        <v xml:space="preserve">http://slimages.macys.com/is/image/MCY/8951293 </v>
      </c>
    </row>
    <row r="101" spans="1:11" ht="20.100000000000001" customHeight="1" x14ac:dyDescent="0.25">
      <c r="A101" s="12" t="s">
        <v>1362</v>
      </c>
      <c r="B101" s="13">
        <v>13768424</v>
      </c>
      <c r="C101" s="8">
        <v>675716707262</v>
      </c>
      <c r="D101" s="6" t="s">
        <v>706</v>
      </c>
      <c r="E101" s="18">
        <v>1</v>
      </c>
      <c r="F101" s="14">
        <v>169.99</v>
      </c>
      <c r="G101" s="14">
        <v>169.99</v>
      </c>
      <c r="H101" s="7" t="s">
        <v>1054</v>
      </c>
      <c r="I101" s="7" t="s">
        <v>945</v>
      </c>
      <c r="J101" s="7" t="s">
        <v>955</v>
      </c>
      <c r="K101" s="7" t="str">
        <f>HYPERLINK("http://slimages.macys.com/is/image/MCY/9627753 ")</f>
        <v xml:space="preserve">http://slimages.macys.com/is/image/MCY/9627753 </v>
      </c>
    </row>
    <row r="102" spans="1:11" ht="20.100000000000001" customHeight="1" x14ac:dyDescent="0.25">
      <c r="A102" s="12" t="s">
        <v>1362</v>
      </c>
      <c r="B102" s="13">
        <v>13768424</v>
      </c>
      <c r="C102" s="8">
        <v>675716775520</v>
      </c>
      <c r="D102" s="6" t="s">
        <v>707</v>
      </c>
      <c r="E102" s="18">
        <v>1</v>
      </c>
      <c r="F102" s="14">
        <v>29.99</v>
      </c>
      <c r="G102" s="14">
        <v>29.99</v>
      </c>
      <c r="H102" s="7" t="s">
        <v>1051</v>
      </c>
      <c r="I102" s="7" t="s">
        <v>947</v>
      </c>
      <c r="J102" s="7" t="s">
        <v>955</v>
      </c>
      <c r="K102" s="7" t="str">
        <f>HYPERLINK("http://slimages.macys.com/is/image/MCY/9602958 ")</f>
        <v xml:space="preserve">http://slimages.macys.com/is/image/MCY/9602958 </v>
      </c>
    </row>
    <row r="103" spans="1:11" ht="20.100000000000001" customHeight="1" x14ac:dyDescent="0.25">
      <c r="A103" s="12" t="s">
        <v>1362</v>
      </c>
      <c r="B103" s="13">
        <v>13768424</v>
      </c>
      <c r="C103" s="8">
        <v>675716780739</v>
      </c>
      <c r="D103" s="6" t="s">
        <v>708</v>
      </c>
      <c r="E103" s="18">
        <v>1</v>
      </c>
      <c r="F103" s="14">
        <v>99.99</v>
      </c>
      <c r="G103" s="14">
        <v>99.99</v>
      </c>
      <c r="H103" s="7" t="s">
        <v>1026</v>
      </c>
      <c r="I103" s="7" t="s">
        <v>947</v>
      </c>
      <c r="J103" s="7" t="s">
        <v>955</v>
      </c>
      <c r="K103" s="7" t="str">
        <f>HYPERLINK("http://slimages.macys.com/is/image/MCY/9954549 ")</f>
        <v xml:space="preserve">http://slimages.macys.com/is/image/MCY/9954549 </v>
      </c>
    </row>
    <row r="104" spans="1:11" ht="20.100000000000001" customHeight="1" x14ac:dyDescent="0.25">
      <c r="A104" s="12" t="s">
        <v>1362</v>
      </c>
      <c r="B104" s="13">
        <v>13768424</v>
      </c>
      <c r="C104" s="8">
        <v>675716836146</v>
      </c>
      <c r="D104" s="6" t="s">
        <v>709</v>
      </c>
      <c r="E104" s="18">
        <v>1</v>
      </c>
      <c r="F104" s="14">
        <v>39.99</v>
      </c>
      <c r="G104" s="14">
        <v>39.99</v>
      </c>
      <c r="H104" s="7" t="s">
        <v>950</v>
      </c>
      <c r="I104" s="7" t="s">
        <v>947</v>
      </c>
      <c r="J104" s="7" t="s">
        <v>955</v>
      </c>
      <c r="K104" s="7" t="str">
        <f>HYPERLINK("http://slimages.macys.com/is/image/MCY/9602373 ")</f>
        <v xml:space="preserve">http://slimages.macys.com/is/image/MCY/9602373 </v>
      </c>
    </row>
    <row r="105" spans="1:11" ht="20.100000000000001" customHeight="1" x14ac:dyDescent="0.25">
      <c r="A105" s="12" t="s">
        <v>1362</v>
      </c>
      <c r="B105" s="13">
        <v>13768424</v>
      </c>
      <c r="C105" s="8">
        <v>675716842673</v>
      </c>
      <c r="D105" s="6" t="s">
        <v>710</v>
      </c>
      <c r="E105" s="18">
        <v>1</v>
      </c>
      <c r="F105" s="14">
        <v>32.99</v>
      </c>
      <c r="G105" s="14">
        <v>32.99</v>
      </c>
      <c r="H105" s="7" t="s">
        <v>950</v>
      </c>
      <c r="I105" s="7" t="s">
        <v>1003</v>
      </c>
      <c r="J105" s="7" t="s">
        <v>1346</v>
      </c>
      <c r="K105" s="7" t="str">
        <f>HYPERLINK("http://slimages.macys.com/is/image/MCY/8397384 ")</f>
        <v xml:space="preserve">http://slimages.macys.com/is/image/MCY/8397384 </v>
      </c>
    </row>
    <row r="106" spans="1:11" ht="20.100000000000001" customHeight="1" x14ac:dyDescent="0.25">
      <c r="A106" s="12" t="s">
        <v>1362</v>
      </c>
      <c r="B106" s="13">
        <v>13768424</v>
      </c>
      <c r="C106" s="8">
        <v>675716850012</v>
      </c>
      <c r="D106" s="6" t="s">
        <v>711</v>
      </c>
      <c r="E106" s="18">
        <v>9</v>
      </c>
      <c r="F106" s="14">
        <v>20.99</v>
      </c>
      <c r="G106" s="14">
        <v>188.91</v>
      </c>
      <c r="H106" s="7" t="s">
        <v>952</v>
      </c>
      <c r="I106" s="7" t="s">
        <v>947</v>
      </c>
      <c r="J106" s="7" t="s">
        <v>955</v>
      </c>
      <c r="K106" s="7" t="str">
        <f>HYPERLINK("http://slimages.macys.com/is/image/MCY/10015397 ")</f>
        <v xml:space="preserve">http://slimages.macys.com/is/image/MCY/10015397 </v>
      </c>
    </row>
    <row r="107" spans="1:11" ht="20.100000000000001" customHeight="1" x14ac:dyDescent="0.25">
      <c r="A107" s="12" t="s">
        <v>1362</v>
      </c>
      <c r="B107" s="13">
        <v>13768424</v>
      </c>
      <c r="C107" s="8">
        <v>679610808360</v>
      </c>
      <c r="D107" s="6" t="s">
        <v>1065</v>
      </c>
      <c r="E107" s="18">
        <v>1</v>
      </c>
      <c r="F107" s="14">
        <v>179.99</v>
      </c>
      <c r="G107" s="14">
        <v>179.99</v>
      </c>
      <c r="H107" s="7" t="s">
        <v>1030</v>
      </c>
      <c r="I107" s="7" t="s">
        <v>945</v>
      </c>
      <c r="J107" s="7" t="s">
        <v>1055</v>
      </c>
      <c r="K107" s="7" t="str">
        <f>HYPERLINK("http://slimages.macys.com/is/image/MCY/14826453 ")</f>
        <v xml:space="preserve">http://slimages.macys.com/is/image/MCY/14826453 </v>
      </c>
    </row>
    <row r="108" spans="1:11" ht="20.100000000000001" customHeight="1" x14ac:dyDescent="0.25">
      <c r="A108" s="12" t="s">
        <v>1362</v>
      </c>
      <c r="B108" s="13">
        <v>13768424</v>
      </c>
      <c r="C108" s="8">
        <v>679610813937</v>
      </c>
      <c r="D108" s="6" t="s">
        <v>1287</v>
      </c>
      <c r="E108" s="18">
        <v>1</v>
      </c>
      <c r="F108" s="14">
        <v>179.99</v>
      </c>
      <c r="G108" s="14">
        <v>179.99</v>
      </c>
      <c r="H108" s="7" t="s">
        <v>1054</v>
      </c>
      <c r="I108" s="7" t="s">
        <v>945</v>
      </c>
      <c r="J108" s="7" t="s">
        <v>1055</v>
      </c>
      <c r="K108" s="7" t="str">
        <f>HYPERLINK("http://slimages.macys.com/is/image/MCY/14789644 ")</f>
        <v xml:space="preserve">http://slimages.macys.com/is/image/MCY/14789644 </v>
      </c>
    </row>
    <row r="109" spans="1:11" ht="20.100000000000001" customHeight="1" x14ac:dyDescent="0.25">
      <c r="A109" s="12" t="s">
        <v>1362</v>
      </c>
      <c r="B109" s="13">
        <v>13768424</v>
      </c>
      <c r="C109" s="8">
        <v>679610822410</v>
      </c>
      <c r="D109" s="6" t="s">
        <v>712</v>
      </c>
      <c r="E109" s="18">
        <v>1</v>
      </c>
      <c r="F109" s="14">
        <v>179.99</v>
      </c>
      <c r="G109" s="14">
        <v>179.99</v>
      </c>
      <c r="H109" s="7" t="s">
        <v>1095</v>
      </c>
      <c r="I109" s="7" t="s">
        <v>945</v>
      </c>
      <c r="J109" s="7" t="s">
        <v>1055</v>
      </c>
      <c r="K109" s="7" t="str">
        <f>HYPERLINK("http://slimages.macys.com/is/image/MCY/17257919 ")</f>
        <v xml:space="preserve">http://slimages.macys.com/is/image/MCY/17257919 </v>
      </c>
    </row>
    <row r="110" spans="1:11" ht="20.100000000000001" customHeight="1" x14ac:dyDescent="0.25">
      <c r="A110" s="12" t="s">
        <v>1362</v>
      </c>
      <c r="B110" s="13">
        <v>13768424</v>
      </c>
      <c r="C110" s="8">
        <v>679610834154</v>
      </c>
      <c r="D110" s="6" t="s">
        <v>713</v>
      </c>
      <c r="E110" s="18">
        <v>1</v>
      </c>
      <c r="F110" s="14">
        <v>49.99</v>
      </c>
      <c r="G110" s="14">
        <v>49.99</v>
      </c>
      <c r="H110" s="7" t="s">
        <v>963</v>
      </c>
      <c r="I110" s="7" t="s">
        <v>945</v>
      </c>
      <c r="J110" s="7" t="s">
        <v>1055</v>
      </c>
      <c r="K110" s="7" t="str">
        <f>HYPERLINK("http://slimages.macys.com/is/image/MCY/18868304 ")</f>
        <v xml:space="preserve">http://slimages.macys.com/is/image/MCY/18868304 </v>
      </c>
    </row>
    <row r="111" spans="1:11" ht="20.100000000000001" customHeight="1" x14ac:dyDescent="0.25">
      <c r="A111" s="12" t="s">
        <v>1362</v>
      </c>
      <c r="B111" s="13">
        <v>13768424</v>
      </c>
      <c r="C111" s="8">
        <v>679610834161</v>
      </c>
      <c r="D111" s="6" t="s">
        <v>1186</v>
      </c>
      <c r="E111" s="18">
        <v>1</v>
      </c>
      <c r="F111" s="14">
        <v>49.99</v>
      </c>
      <c r="G111" s="14">
        <v>49.99</v>
      </c>
      <c r="H111" s="7" t="s">
        <v>963</v>
      </c>
      <c r="I111" s="7" t="s">
        <v>945</v>
      </c>
      <c r="J111" s="7" t="s">
        <v>1055</v>
      </c>
      <c r="K111" s="7" t="str">
        <f>HYPERLINK("http://slimages.macys.com/is/image/MCY/18868320 ")</f>
        <v xml:space="preserve">http://slimages.macys.com/is/image/MCY/18868320 </v>
      </c>
    </row>
    <row r="112" spans="1:11" ht="20.100000000000001" customHeight="1" x14ac:dyDescent="0.25">
      <c r="A112" s="12" t="s">
        <v>1362</v>
      </c>
      <c r="B112" s="13">
        <v>13768424</v>
      </c>
      <c r="C112" s="8">
        <v>679610834222</v>
      </c>
      <c r="D112" s="6" t="s">
        <v>714</v>
      </c>
      <c r="E112" s="18">
        <v>1</v>
      </c>
      <c r="F112" s="14">
        <v>49.99</v>
      </c>
      <c r="G112" s="14">
        <v>49.99</v>
      </c>
      <c r="H112" s="7" t="s">
        <v>950</v>
      </c>
      <c r="I112" s="7" t="s">
        <v>945</v>
      </c>
      <c r="J112" s="7" t="s">
        <v>1055</v>
      </c>
      <c r="K112" s="7" t="str">
        <f>HYPERLINK("http://slimages.macys.com/is/image/MCY/18869140 ")</f>
        <v xml:space="preserve">http://slimages.macys.com/is/image/MCY/18869140 </v>
      </c>
    </row>
    <row r="113" spans="1:11" ht="20.100000000000001" customHeight="1" x14ac:dyDescent="0.25">
      <c r="A113" s="12" t="s">
        <v>1362</v>
      </c>
      <c r="B113" s="13">
        <v>13768424</v>
      </c>
      <c r="C113" s="8">
        <v>679610834444</v>
      </c>
      <c r="D113" s="6" t="s">
        <v>715</v>
      </c>
      <c r="E113" s="18">
        <v>2</v>
      </c>
      <c r="F113" s="14">
        <v>49.99</v>
      </c>
      <c r="G113" s="14">
        <v>99.98</v>
      </c>
      <c r="H113" s="7" t="s">
        <v>968</v>
      </c>
      <c r="I113" s="7" t="s">
        <v>945</v>
      </c>
      <c r="J113" s="7" t="s">
        <v>1055</v>
      </c>
      <c r="K113" s="7" t="str">
        <f>HYPERLINK("http://slimages.macys.com/is/image/MCY/18742991 ")</f>
        <v xml:space="preserve">http://slimages.macys.com/is/image/MCY/18742991 </v>
      </c>
    </row>
    <row r="114" spans="1:11" ht="20.100000000000001" customHeight="1" x14ac:dyDescent="0.25">
      <c r="A114" s="12" t="s">
        <v>1362</v>
      </c>
      <c r="B114" s="13">
        <v>13768424</v>
      </c>
      <c r="C114" s="8">
        <v>679610834444</v>
      </c>
      <c r="D114" s="6" t="s">
        <v>715</v>
      </c>
      <c r="E114" s="18">
        <v>1</v>
      </c>
      <c r="F114" s="14">
        <v>49.99</v>
      </c>
      <c r="G114" s="14">
        <v>49.99</v>
      </c>
      <c r="H114" s="7" t="s">
        <v>968</v>
      </c>
      <c r="I114" s="7" t="s">
        <v>945</v>
      </c>
      <c r="J114" s="7" t="s">
        <v>1055</v>
      </c>
      <c r="K114" s="7" t="str">
        <f>HYPERLINK("http://slimages.macys.com/is/image/MCY/18742991 ")</f>
        <v xml:space="preserve">http://slimages.macys.com/is/image/MCY/18742991 </v>
      </c>
    </row>
    <row r="115" spans="1:11" ht="20.100000000000001" customHeight="1" x14ac:dyDescent="0.25">
      <c r="A115" s="12" t="s">
        <v>1362</v>
      </c>
      <c r="B115" s="13">
        <v>13768424</v>
      </c>
      <c r="C115" s="8">
        <v>679610834550</v>
      </c>
      <c r="D115" s="6" t="s">
        <v>1418</v>
      </c>
      <c r="E115" s="18">
        <v>1</v>
      </c>
      <c r="F115" s="14">
        <v>179.99</v>
      </c>
      <c r="G115" s="14">
        <v>179.99</v>
      </c>
      <c r="H115" s="7" t="s">
        <v>1095</v>
      </c>
      <c r="I115" s="7" t="s">
        <v>945</v>
      </c>
      <c r="J115" s="7" t="s">
        <v>1055</v>
      </c>
      <c r="K115" s="7" t="str">
        <f>HYPERLINK("http://slimages.macys.com/is/image/MCY/18729817 ")</f>
        <v xml:space="preserve">http://slimages.macys.com/is/image/MCY/18729817 </v>
      </c>
    </row>
    <row r="116" spans="1:11" ht="20.100000000000001" customHeight="1" x14ac:dyDescent="0.25">
      <c r="A116" s="12" t="s">
        <v>1362</v>
      </c>
      <c r="B116" s="13">
        <v>13768424</v>
      </c>
      <c r="C116" s="8">
        <v>679610834680</v>
      </c>
      <c r="D116" s="6" t="s">
        <v>716</v>
      </c>
      <c r="E116" s="18">
        <v>1</v>
      </c>
      <c r="F116" s="14">
        <v>109.99</v>
      </c>
      <c r="G116" s="14">
        <v>109.99</v>
      </c>
      <c r="H116" s="7" t="s">
        <v>950</v>
      </c>
      <c r="I116" s="7" t="s">
        <v>945</v>
      </c>
      <c r="J116" s="7" t="s">
        <v>1055</v>
      </c>
      <c r="K116" s="7" t="str">
        <f>HYPERLINK("http://slimages.macys.com/is/image/MCY/18728089 ")</f>
        <v xml:space="preserve">http://slimages.macys.com/is/image/MCY/18728089 </v>
      </c>
    </row>
    <row r="117" spans="1:11" ht="20.100000000000001" customHeight="1" x14ac:dyDescent="0.25">
      <c r="A117" s="12" t="s">
        <v>1362</v>
      </c>
      <c r="B117" s="13">
        <v>13768424</v>
      </c>
      <c r="C117" s="8">
        <v>679610834796</v>
      </c>
      <c r="D117" s="6" t="s">
        <v>1573</v>
      </c>
      <c r="E117" s="18">
        <v>1</v>
      </c>
      <c r="F117" s="14">
        <v>59.99</v>
      </c>
      <c r="G117" s="14">
        <v>59.99</v>
      </c>
      <c r="H117" s="7" t="s">
        <v>976</v>
      </c>
      <c r="I117" s="7" t="s">
        <v>945</v>
      </c>
      <c r="J117" s="7" t="s">
        <v>1055</v>
      </c>
      <c r="K117" s="7" t="str">
        <f>HYPERLINK("http://slimages.macys.com/is/image/MCY/18730571 ")</f>
        <v xml:space="preserve">http://slimages.macys.com/is/image/MCY/18730571 </v>
      </c>
    </row>
    <row r="118" spans="1:11" ht="20.100000000000001" customHeight="1" x14ac:dyDescent="0.25">
      <c r="A118" s="12" t="s">
        <v>1362</v>
      </c>
      <c r="B118" s="13">
        <v>13768424</v>
      </c>
      <c r="C118" s="8">
        <v>679610835069</v>
      </c>
      <c r="D118" s="6" t="s">
        <v>717</v>
      </c>
      <c r="E118" s="18">
        <v>2</v>
      </c>
      <c r="F118" s="14">
        <v>49.99</v>
      </c>
      <c r="G118" s="14">
        <v>99.98</v>
      </c>
      <c r="H118" s="7" t="s">
        <v>952</v>
      </c>
      <c r="I118" s="7" t="s">
        <v>945</v>
      </c>
      <c r="J118" s="7" t="s">
        <v>1055</v>
      </c>
      <c r="K118" s="7" t="str">
        <f>HYPERLINK("http://slimages.macys.com/is/image/MCY/19009536 ")</f>
        <v xml:space="preserve">http://slimages.macys.com/is/image/MCY/19009536 </v>
      </c>
    </row>
    <row r="119" spans="1:11" ht="20.100000000000001" customHeight="1" x14ac:dyDescent="0.25">
      <c r="A119" s="12" t="s">
        <v>1362</v>
      </c>
      <c r="B119" s="13">
        <v>13768424</v>
      </c>
      <c r="C119" s="8">
        <v>679610835069</v>
      </c>
      <c r="D119" s="6" t="s">
        <v>717</v>
      </c>
      <c r="E119" s="18">
        <v>1</v>
      </c>
      <c r="F119" s="14">
        <v>49.99</v>
      </c>
      <c r="G119" s="14">
        <v>49.99</v>
      </c>
      <c r="H119" s="7" t="s">
        <v>952</v>
      </c>
      <c r="I119" s="7" t="s">
        <v>945</v>
      </c>
      <c r="J119" s="7" t="s">
        <v>1055</v>
      </c>
      <c r="K119" s="7" t="str">
        <f>HYPERLINK("http://slimages.macys.com/is/image/MCY/19009536 ")</f>
        <v xml:space="preserve">http://slimages.macys.com/is/image/MCY/19009536 </v>
      </c>
    </row>
    <row r="120" spans="1:11" ht="20.100000000000001" customHeight="1" x14ac:dyDescent="0.25">
      <c r="A120" s="12" t="s">
        <v>1362</v>
      </c>
      <c r="B120" s="13">
        <v>13768424</v>
      </c>
      <c r="C120" s="8">
        <v>681827992725</v>
      </c>
      <c r="D120" s="6" t="s">
        <v>718</v>
      </c>
      <c r="E120" s="18">
        <v>1</v>
      </c>
      <c r="F120" s="14">
        <v>69.989999999999995</v>
      </c>
      <c r="G120" s="14">
        <v>69.989999999999995</v>
      </c>
      <c r="H120" s="7" t="s">
        <v>941</v>
      </c>
      <c r="I120" s="7" t="s">
        <v>1017</v>
      </c>
      <c r="J120" s="7" t="s">
        <v>1212</v>
      </c>
      <c r="K120" s="7" t="str">
        <f>HYPERLINK("http://slimages.macys.com/is/image/MCY/18515438 ")</f>
        <v xml:space="preserve">http://slimages.macys.com/is/image/MCY/18515438 </v>
      </c>
    </row>
    <row r="121" spans="1:11" ht="20.100000000000001" customHeight="1" x14ac:dyDescent="0.25">
      <c r="A121" s="12" t="s">
        <v>1362</v>
      </c>
      <c r="B121" s="13">
        <v>13768424</v>
      </c>
      <c r="C121" s="8">
        <v>681827992756</v>
      </c>
      <c r="D121" s="6" t="s">
        <v>719</v>
      </c>
      <c r="E121" s="18">
        <v>1</v>
      </c>
      <c r="F121" s="14">
        <v>69.989999999999995</v>
      </c>
      <c r="G121" s="14">
        <v>69.989999999999995</v>
      </c>
      <c r="H121" s="7" t="s">
        <v>976</v>
      </c>
      <c r="I121" s="7" t="s">
        <v>1017</v>
      </c>
      <c r="J121" s="7" t="s">
        <v>1212</v>
      </c>
      <c r="K121" s="7" t="str">
        <f>HYPERLINK("http://slimages.macys.com/is/image/MCY/18515438 ")</f>
        <v xml:space="preserve">http://slimages.macys.com/is/image/MCY/18515438 </v>
      </c>
    </row>
    <row r="122" spans="1:11" ht="20.100000000000001" customHeight="1" x14ac:dyDescent="0.25">
      <c r="A122" s="12" t="s">
        <v>1362</v>
      </c>
      <c r="B122" s="13">
        <v>13768424</v>
      </c>
      <c r="C122" s="8">
        <v>681827992763</v>
      </c>
      <c r="D122" s="6" t="s">
        <v>720</v>
      </c>
      <c r="E122" s="18">
        <v>1</v>
      </c>
      <c r="F122" s="14">
        <v>69.989999999999995</v>
      </c>
      <c r="G122" s="14">
        <v>69.989999999999995</v>
      </c>
      <c r="H122" s="7" t="s">
        <v>968</v>
      </c>
      <c r="I122" s="7" t="s">
        <v>1017</v>
      </c>
      <c r="J122" s="7" t="s">
        <v>1212</v>
      </c>
      <c r="K122" s="7" t="str">
        <f>HYPERLINK("http://slimages.macys.com/is/image/MCY/18515438 ")</f>
        <v xml:space="preserve">http://slimages.macys.com/is/image/MCY/18515438 </v>
      </c>
    </row>
    <row r="123" spans="1:11" ht="20.100000000000001" customHeight="1" x14ac:dyDescent="0.25">
      <c r="A123" s="12" t="s">
        <v>1362</v>
      </c>
      <c r="B123" s="13">
        <v>13768424</v>
      </c>
      <c r="C123" s="8">
        <v>689192610299</v>
      </c>
      <c r="D123" s="6" t="s">
        <v>721</v>
      </c>
      <c r="E123" s="18">
        <v>1</v>
      </c>
      <c r="F123" s="14">
        <v>49.99</v>
      </c>
      <c r="G123" s="14">
        <v>49.99</v>
      </c>
      <c r="H123" s="7" t="s">
        <v>938</v>
      </c>
      <c r="I123" s="7" t="s">
        <v>961</v>
      </c>
      <c r="J123" s="7" t="s">
        <v>943</v>
      </c>
      <c r="K123" s="7" t="str">
        <f>HYPERLINK("http://slimages.macys.com/is/image/MCY/11798558 ")</f>
        <v xml:space="preserve">http://slimages.macys.com/is/image/MCY/11798558 </v>
      </c>
    </row>
    <row r="124" spans="1:11" ht="20.100000000000001" customHeight="1" x14ac:dyDescent="0.25">
      <c r="A124" s="12" t="s">
        <v>1362</v>
      </c>
      <c r="B124" s="13">
        <v>13768424</v>
      </c>
      <c r="C124" s="8">
        <v>706254230964</v>
      </c>
      <c r="D124" s="6" t="s">
        <v>722</v>
      </c>
      <c r="E124" s="18">
        <v>1</v>
      </c>
      <c r="F124" s="14">
        <v>259.99</v>
      </c>
      <c r="G124" s="14">
        <v>259.99</v>
      </c>
      <c r="H124" s="7" t="s">
        <v>950</v>
      </c>
      <c r="I124" s="7" t="s">
        <v>956</v>
      </c>
      <c r="J124" s="7" t="s">
        <v>1109</v>
      </c>
      <c r="K124" s="7" t="str">
        <f>HYPERLINK("http://slimages.macys.com/is/image/MCY/3137940 ")</f>
        <v xml:space="preserve">http://slimages.macys.com/is/image/MCY/3137940 </v>
      </c>
    </row>
    <row r="125" spans="1:11" ht="20.100000000000001" customHeight="1" x14ac:dyDescent="0.25">
      <c r="A125" s="12" t="s">
        <v>1362</v>
      </c>
      <c r="B125" s="13">
        <v>13768424</v>
      </c>
      <c r="C125" s="8">
        <v>706254462945</v>
      </c>
      <c r="D125" s="6" t="s">
        <v>1376</v>
      </c>
      <c r="E125" s="18">
        <v>1</v>
      </c>
      <c r="F125" s="14">
        <v>16.989999999999998</v>
      </c>
      <c r="G125" s="14">
        <v>16.989999999999998</v>
      </c>
      <c r="H125" s="7" t="s">
        <v>941</v>
      </c>
      <c r="I125" s="7" t="s">
        <v>971</v>
      </c>
      <c r="J125" s="7" t="s">
        <v>972</v>
      </c>
      <c r="K125" s="7" t="str">
        <f>HYPERLINK("http://slimages.macys.com/is/image/MCY/12737864 ")</f>
        <v xml:space="preserve">http://slimages.macys.com/is/image/MCY/12737864 </v>
      </c>
    </row>
    <row r="126" spans="1:11" ht="20.100000000000001" customHeight="1" x14ac:dyDescent="0.25">
      <c r="A126" s="12" t="s">
        <v>1362</v>
      </c>
      <c r="B126" s="13">
        <v>13768424</v>
      </c>
      <c r="C126" s="8">
        <v>706254462945</v>
      </c>
      <c r="D126" s="6" t="s">
        <v>1225</v>
      </c>
      <c r="E126" s="18">
        <v>3</v>
      </c>
      <c r="F126" s="14">
        <v>16.989999999999998</v>
      </c>
      <c r="G126" s="14">
        <v>50.97</v>
      </c>
      <c r="H126" s="7" t="s">
        <v>941</v>
      </c>
      <c r="I126" s="7" t="s">
        <v>971</v>
      </c>
      <c r="J126" s="7" t="s">
        <v>972</v>
      </c>
      <c r="K126" s="7" t="str">
        <f>HYPERLINK("http://slimages.macys.com/is/image/MCY/12737864 ")</f>
        <v xml:space="preserve">http://slimages.macys.com/is/image/MCY/12737864 </v>
      </c>
    </row>
    <row r="127" spans="1:11" ht="20.100000000000001" customHeight="1" x14ac:dyDescent="0.25">
      <c r="A127" s="12" t="s">
        <v>1362</v>
      </c>
      <c r="B127" s="13">
        <v>13768424</v>
      </c>
      <c r="C127" s="8">
        <v>706254462945</v>
      </c>
      <c r="D127" s="6" t="s">
        <v>1376</v>
      </c>
      <c r="E127" s="18">
        <v>1</v>
      </c>
      <c r="F127" s="14">
        <v>16.989999999999998</v>
      </c>
      <c r="G127" s="14">
        <v>16.989999999999998</v>
      </c>
      <c r="H127" s="7" t="s">
        <v>941</v>
      </c>
      <c r="I127" s="7" t="s">
        <v>971</v>
      </c>
      <c r="J127" s="7" t="s">
        <v>972</v>
      </c>
      <c r="K127" s="7" t="str">
        <f>HYPERLINK("http://slimages.macys.com/is/image/MCY/12737864 ")</f>
        <v xml:space="preserve">http://slimages.macys.com/is/image/MCY/12737864 </v>
      </c>
    </row>
    <row r="128" spans="1:11" ht="20.100000000000001" customHeight="1" x14ac:dyDescent="0.25">
      <c r="A128" s="12" t="s">
        <v>1362</v>
      </c>
      <c r="B128" s="13">
        <v>13768424</v>
      </c>
      <c r="C128" s="8">
        <v>706254463331</v>
      </c>
      <c r="D128" s="6" t="s">
        <v>1231</v>
      </c>
      <c r="E128" s="18">
        <v>1</v>
      </c>
      <c r="F128" s="14">
        <v>12.99</v>
      </c>
      <c r="G128" s="14">
        <v>12.99</v>
      </c>
      <c r="H128" s="7" t="s">
        <v>950</v>
      </c>
      <c r="I128" s="7" t="s">
        <v>971</v>
      </c>
      <c r="J128" s="7" t="s">
        <v>972</v>
      </c>
      <c r="K128" s="7" t="str">
        <f>HYPERLINK("http://slimages.macys.com/is/image/MCY/12737814 ")</f>
        <v xml:space="preserve">http://slimages.macys.com/is/image/MCY/12737814 </v>
      </c>
    </row>
    <row r="129" spans="1:11" ht="20.100000000000001" customHeight="1" x14ac:dyDescent="0.25">
      <c r="A129" s="12" t="s">
        <v>1362</v>
      </c>
      <c r="B129" s="13">
        <v>13768424</v>
      </c>
      <c r="C129" s="8">
        <v>706254464376</v>
      </c>
      <c r="D129" s="6" t="s">
        <v>1277</v>
      </c>
      <c r="E129" s="18">
        <v>1</v>
      </c>
      <c r="F129" s="14">
        <v>7.99</v>
      </c>
      <c r="G129" s="14">
        <v>7.99</v>
      </c>
      <c r="H129" s="7" t="s">
        <v>941</v>
      </c>
      <c r="I129" s="7" t="s">
        <v>971</v>
      </c>
      <c r="J129" s="7" t="s">
        <v>972</v>
      </c>
      <c r="K129" s="7" t="str">
        <f>HYPERLINK("http://slimages.macys.com/is/image/MCY/12737732 ")</f>
        <v xml:space="preserve">http://slimages.macys.com/is/image/MCY/12737732 </v>
      </c>
    </row>
    <row r="130" spans="1:11" ht="20.100000000000001" customHeight="1" x14ac:dyDescent="0.25">
      <c r="A130" s="12" t="s">
        <v>1362</v>
      </c>
      <c r="B130" s="13">
        <v>13768424</v>
      </c>
      <c r="C130" s="8">
        <v>706254464659</v>
      </c>
      <c r="D130" s="6" t="s">
        <v>723</v>
      </c>
      <c r="E130" s="18">
        <v>1</v>
      </c>
      <c r="F130" s="14">
        <v>7.99</v>
      </c>
      <c r="G130" s="14">
        <v>7.99</v>
      </c>
      <c r="H130" s="7" t="s">
        <v>1056</v>
      </c>
      <c r="I130" s="7" t="s">
        <v>971</v>
      </c>
      <c r="J130" s="7" t="s">
        <v>972</v>
      </c>
      <c r="K130" s="7" t="str">
        <f>HYPERLINK("http://slimages.macys.com/is/image/MCY/12737732 ")</f>
        <v xml:space="preserve">http://slimages.macys.com/is/image/MCY/12737732 </v>
      </c>
    </row>
    <row r="131" spans="1:11" ht="20.100000000000001" customHeight="1" x14ac:dyDescent="0.25">
      <c r="A131" s="12" t="s">
        <v>1362</v>
      </c>
      <c r="B131" s="13">
        <v>13768424</v>
      </c>
      <c r="C131" s="8">
        <v>706254616546</v>
      </c>
      <c r="D131" s="6" t="s">
        <v>1115</v>
      </c>
      <c r="E131" s="18">
        <v>1</v>
      </c>
      <c r="F131" s="14">
        <v>17.989999999999998</v>
      </c>
      <c r="G131" s="14">
        <v>17.989999999999998</v>
      </c>
      <c r="H131" s="7" t="s">
        <v>997</v>
      </c>
      <c r="I131" s="7" t="s">
        <v>971</v>
      </c>
      <c r="J131" s="7" t="s">
        <v>972</v>
      </c>
      <c r="K131" s="7" t="str">
        <f>HYPERLINK("http://slimages.macys.com/is/image/MCY/3964365 ")</f>
        <v xml:space="preserve">http://slimages.macys.com/is/image/MCY/3964365 </v>
      </c>
    </row>
    <row r="132" spans="1:11" ht="20.100000000000001" customHeight="1" x14ac:dyDescent="0.25">
      <c r="A132" s="12" t="s">
        <v>1362</v>
      </c>
      <c r="B132" s="13">
        <v>13768424</v>
      </c>
      <c r="C132" s="8">
        <v>706254616584</v>
      </c>
      <c r="D132" s="6" t="s">
        <v>724</v>
      </c>
      <c r="E132" s="18">
        <v>1</v>
      </c>
      <c r="F132" s="14">
        <v>13.99</v>
      </c>
      <c r="G132" s="14">
        <v>13.99</v>
      </c>
      <c r="H132" s="7" t="s">
        <v>997</v>
      </c>
      <c r="I132" s="7" t="s">
        <v>971</v>
      </c>
      <c r="J132" s="7" t="s">
        <v>972</v>
      </c>
      <c r="K132" s="7" t="str">
        <f>HYPERLINK("http://slimages.macys.com/is/image/MCY/3272675 ")</f>
        <v xml:space="preserve">http://slimages.macys.com/is/image/MCY/3272675 </v>
      </c>
    </row>
    <row r="133" spans="1:11" ht="20.100000000000001" customHeight="1" x14ac:dyDescent="0.25">
      <c r="A133" s="12" t="s">
        <v>1362</v>
      </c>
      <c r="B133" s="13">
        <v>13768424</v>
      </c>
      <c r="C133" s="8">
        <v>706254838870</v>
      </c>
      <c r="D133" s="6" t="s">
        <v>1421</v>
      </c>
      <c r="E133" s="18">
        <v>1</v>
      </c>
      <c r="F133" s="14">
        <v>99.99</v>
      </c>
      <c r="G133" s="14">
        <v>99.99</v>
      </c>
      <c r="H133" s="7" t="s">
        <v>941</v>
      </c>
      <c r="I133" s="7" t="s">
        <v>1022</v>
      </c>
      <c r="J133" s="7" t="s">
        <v>1254</v>
      </c>
      <c r="K133" s="7" t="str">
        <f>HYPERLINK("http://slimages.macys.com/is/image/MCY/11640418 ")</f>
        <v xml:space="preserve">http://slimages.macys.com/is/image/MCY/11640418 </v>
      </c>
    </row>
    <row r="134" spans="1:11" ht="20.100000000000001" customHeight="1" x14ac:dyDescent="0.25">
      <c r="A134" s="12" t="s">
        <v>1362</v>
      </c>
      <c r="B134" s="13">
        <v>13768424</v>
      </c>
      <c r="C134" s="8">
        <v>706254838924</v>
      </c>
      <c r="D134" s="6" t="s">
        <v>725</v>
      </c>
      <c r="E134" s="18">
        <v>1</v>
      </c>
      <c r="F134" s="14">
        <v>89.99</v>
      </c>
      <c r="G134" s="14">
        <v>89.99</v>
      </c>
      <c r="H134" s="7" t="s">
        <v>1095</v>
      </c>
      <c r="I134" s="7" t="s">
        <v>1022</v>
      </c>
      <c r="J134" s="7" t="s">
        <v>1254</v>
      </c>
      <c r="K134" s="7" t="str">
        <f>HYPERLINK("http://slimages.macys.com/is/image/MCY/11640418 ")</f>
        <v xml:space="preserve">http://slimages.macys.com/is/image/MCY/11640418 </v>
      </c>
    </row>
    <row r="135" spans="1:11" ht="20.100000000000001" customHeight="1" x14ac:dyDescent="0.25">
      <c r="A135" s="12" t="s">
        <v>1362</v>
      </c>
      <c r="B135" s="13">
        <v>13768424</v>
      </c>
      <c r="C135" s="8">
        <v>706255871616</v>
      </c>
      <c r="D135" s="6" t="s">
        <v>1229</v>
      </c>
      <c r="E135" s="18">
        <v>1</v>
      </c>
      <c r="F135" s="14">
        <v>7.99</v>
      </c>
      <c r="G135" s="14">
        <v>7.99</v>
      </c>
      <c r="H135" s="7" t="s">
        <v>952</v>
      </c>
      <c r="I135" s="7" t="s">
        <v>971</v>
      </c>
      <c r="J135" s="7" t="s">
        <v>989</v>
      </c>
      <c r="K135" s="7" t="str">
        <f>HYPERLINK("http://slimages.macys.com/is/image/MCY/12723264 ")</f>
        <v xml:space="preserve">http://slimages.macys.com/is/image/MCY/12723264 </v>
      </c>
    </row>
    <row r="136" spans="1:11" ht="20.100000000000001" customHeight="1" x14ac:dyDescent="0.25">
      <c r="A136" s="12" t="s">
        <v>1362</v>
      </c>
      <c r="B136" s="13">
        <v>13768424</v>
      </c>
      <c r="C136" s="8">
        <v>706257253700</v>
      </c>
      <c r="D136" s="6" t="s">
        <v>1027</v>
      </c>
      <c r="E136" s="18">
        <v>2</v>
      </c>
      <c r="F136" s="14">
        <v>229.99</v>
      </c>
      <c r="G136" s="14">
        <v>459.98</v>
      </c>
      <c r="H136" s="7" t="s">
        <v>941</v>
      </c>
      <c r="I136" s="7" t="s">
        <v>956</v>
      </c>
      <c r="J136" s="7" t="s">
        <v>1028</v>
      </c>
      <c r="K136" s="7" t="str">
        <f>HYPERLINK("http://slimages.macys.com/is/image/MCY/11953123 ")</f>
        <v xml:space="preserve">http://slimages.macys.com/is/image/MCY/11953123 </v>
      </c>
    </row>
    <row r="137" spans="1:11" ht="20.100000000000001" customHeight="1" x14ac:dyDescent="0.25">
      <c r="A137" s="12" t="s">
        <v>1362</v>
      </c>
      <c r="B137" s="13">
        <v>13768424</v>
      </c>
      <c r="C137" s="8">
        <v>706257253731</v>
      </c>
      <c r="D137" s="6" t="s">
        <v>1199</v>
      </c>
      <c r="E137" s="18">
        <v>2</v>
      </c>
      <c r="F137" s="14">
        <v>79.989999999999995</v>
      </c>
      <c r="G137" s="14">
        <v>159.97999999999999</v>
      </c>
      <c r="H137" s="7" t="s">
        <v>941</v>
      </c>
      <c r="I137" s="7" t="s">
        <v>956</v>
      </c>
      <c r="J137" s="7" t="s">
        <v>1028</v>
      </c>
      <c r="K137" s="7" t="str">
        <f>HYPERLINK("http://slimages.macys.com/is/image/MCY/8157180 ")</f>
        <v xml:space="preserve">http://slimages.macys.com/is/image/MCY/8157180 </v>
      </c>
    </row>
    <row r="138" spans="1:11" ht="20.100000000000001" customHeight="1" x14ac:dyDescent="0.25">
      <c r="A138" s="12" t="s">
        <v>1362</v>
      </c>
      <c r="B138" s="13">
        <v>13768424</v>
      </c>
      <c r="C138" s="8">
        <v>706257253731</v>
      </c>
      <c r="D138" s="6" t="s">
        <v>1199</v>
      </c>
      <c r="E138" s="18">
        <v>4</v>
      </c>
      <c r="F138" s="14">
        <v>79.989999999999995</v>
      </c>
      <c r="G138" s="14">
        <v>319.95999999999998</v>
      </c>
      <c r="H138" s="7" t="s">
        <v>941</v>
      </c>
      <c r="I138" s="7" t="s">
        <v>956</v>
      </c>
      <c r="J138" s="7" t="s">
        <v>1028</v>
      </c>
      <c r="K138" s="7" t="str">
        <f>HYPERLINK("http://slimages.macys.com/is/image/MCY/8157180 ")</f>
        <v xml:space="preserve">http://slimages.macys.com/is/image/MCY/8157180 </v>
      </c>
    </row>
    <row r="139" spans="1:11" ht="20.100000000000001" customHeight="1" x14ac:dyDescent="0.25">
      <c r="A139" s="12" t="s">
        <v>1362</v>
      </c>
      <c r="B139" s="13">
        <v>13768424</v>
      </c>
      <c r="C139" s="8">
        <v>706257375082</v>
      </c>
      <c r="D139" s="6" t="s">
        <v>726</v>
      </c>
      <c r="E139" s="18">
        <v>1</v>
      </c>
      <c r="F139" s="14">
        <v>99.99</v>
      </c>
      <c r="G139" s="14">
        <v>99.99</v>
      </c>
      <c r="H139" s="7" t="s">
        <v>941</v>
      </c>
      <c r="I139" s="7" t="s">
        <v>1011</v>
      </c>
      <c r="J139" s="7" t="s">
        <v>1084</v>
      </c>
      <c r="K139" s="7" t="str">
        <f>HYPERLINK("http://slimages.macys.com/is/image/MCY/11386860 ")</f>
        <v xml:space="preserve">http://slimages.macys.com/is/image/MCY/11386860 </v>
      </c>
    </row>
    <row r="140" spans="1:11" ht="20.100000000000001" customHeight="1" x14ac:dyDescent="0.25">
      <c r="A140" s="12" t="s">
        <v>1362</v>
      </c>
      <c r="B140" s="13">
        <v>13768424</v>
      </c>
      <c r="C140" s="8">
        <v>706257399798</v>
      </c>
      <c r="D140" s="6" t="s">
        <v>727</v>
      </c>
      <c r="E140" s="18">
        <v>1</v>
      </c>
      <c r="F140" s="14">
        <v>99.99</v>
      </c>
      <c r="G140" s="14">
        <v>99.99</v>
      </c>
      <c r="H140" s="7" t="s">
        <v>981</v>
      </c>
      <c r="I140" s="7" t="s">
        <v>956</v>
      </c>
      <c r="J140" s="7" t="s">
        <v>1028</v>
      </c>
      <c r="K140" s="7" t="str">
        <f t="shared" ref="K140:K153" si="0">HYPERLINK("http://slimages.macys.com/is/image/MCY/8182285 ")</f>
        <v xml:space="preserve">http://slimages.macys.com/is/image/MCY/8182285 </v>
      </c>
    </row>
    <row r="141" spans="1:11" ht="20.100000000000001" customHeight="1" x14ac:dyDescent="0.25">
      <c r="A141" s="12" t="s">
        <v>1362</v>
      </c>
      <c r="B141" s="13">
        <v>13768424</v>
      </c>
      <c r="C141" s="8">
        <v>706257399828</v>
      </c>
      <c r="D141" s="6" t="s">
        <v>1377</v>
      </c>
      <c r="E141" s="18">
        <v>2</v>
      </c>
      <c r="F141" s="14">
        <v>139.99</v>
      </c>
      <c r="G141" s="14">
        <v>279.98</v>
      </c>
      <c r="H141" s="7" t="s">
        <v>981</v>
      </c>
      <c r="I141" s="7" t="s">
        <v>956</v>
      </c>
      <c r="J141" s="7" t="s">
        <v>1028</v>
      </c>
      <c r="K141" s="7" t="str">
        <f t="shared" si="0"/>
        <v xml:space="preserve">http://slimages.macys.com/is/image/MCY/8182285 </v>
      </c>
    </row>
    <row r="142" spans="1:11" ht="20.100000000000001" customHeight="1" x14ac:dyDescent="0.25">
      <c r="A142" s="12" t="s">
        <v>1362</v>
      </c>
      <c r="B142" s="13">
        <v>13768424</v>
      </c>
      <c r="C142" s="8">
        <v>706257404331</v>
      </c>
      <c r="D142" s="6" t="s">
        <v>1121</v>
      </c>
      <c r="E142" s="18">
        <v>1</v>
      </c>
      <c r="F142" s="14">
        <v>139.99</v>
      </c>
      <c r="G142" s="14">
        <v>139.99</v>
      </c>
      <c r="H142" s="7" t="s">
        <v>941</v>
      </c>
      <c r="I142" s="7" t="s">
        <v>956</v>
      </c>
      <c r="J142" s="7" t="s">
        <v>1028</v>
      </c>
      <c r="K142" s="7" t="str">
        <f t="shared" si="0"/>
        <v xml:space="preserve">http://slimages.macys.com/is/image/MCY/8182285 </v>
      </c>
    </row>
    <row r="143" spans="1:11" ht="20.100000000000001" customHeight="1" x14ac:dyDescent="0.25">
      <c r="A143" s="12" t="s">
        <v>1362</v>
      </c>
      <c r="B143" s="13">
        <v>13768424</v>
      </c>
      <c r="C143" s="8">
        <v>706257404386</v>
      </c>
      <c r="D143" s="6" t="s">
        <v>1174</v>
      </c>
      <c r="E143" s="18">
        <v>1</v>
      </c>
      <c r="F143" s="14">
        <v>124.99</v>
      </c>
      <c r="G143" s="14">
        <v>124.99</v>
      </c>
      <c r="H143" s="7" t="s">
        <v>941</v>
      </c>
      <c r="I143" s="7" t="s">
        <v>956</v>
      </c>
      <c r="J143" s="7" t="s">
        <v>1028</v>
      </c>
      <c r="K143" s="7" t="str">
        <f t="shared" si="0"/>
        <v xml:space="preserve">http://slimages.macys.com/is/image/MCY/8182285 </v>
      </c>
    </row>
    <row r="144" spans="1:11" ht="20.100000000000001" customHeight="1" x14ac:dyDescent="0.25">
      <c r="A144" s="12" t="s">
        <v>1362</v>
      </c>
      <c r="B144" s="13">
        <v>13768424</v>
      </c>
      <c r="C144" s="8">
        <v>706257404409</v>
      </c>
      <c r="D144" s="6" t="s">
        <v>1422</v>
      </c>
      <c r="E144" s="18">
        <v>1</v>
      </c>
      <c r="F144" s="14">
        <v>164.99</v>
      </c>
      <c r="G144" s="14">
        <v>164.99</v>
      </c>
      <c r="H144" s="7" t="s">
        <v>941</v>
      </c>
      <c r="I144" s="7" t="s">
        <v>956</v>
      </c>
      <c r="J144" s="7" t="s">
        <v>1028</v>
      </c>
      <c r="K144" s="7" t="str">
        <f t="shared" si="0"/>
        <v xml:space="preserve">http://slimages.macys.com/is/image/MCY/8182285 </v>
      </c>
    </row>
    <row r="145" spans="1:11" ht="20.100000000000001" customHeight="1" x14ac:dyDescent="0.25">
      <c r="A145" s="12" t="s">
        <v>1362</v>
      </c>
      <c r="B145" s="13">
        <v>13768424</v>
      </c>
      <c r="C145" s="8">
        <v>706257404416</v>
      </c>
      <c r="D145" s="6" t="s">
        <v>1422</v>
      </c>
      <c r="E145" s="18">
        <v>2</v>
      </c>
      <c r="F145" s="14">
        <v>164.99</v>
      </c>
      <c r="G145" s="14">
        <v>329.98</v>
      </c>
      <c r="H145" s="7" t="s">
        <v>941</v>
      </c>
      <c r="I145" s="7" t="s">
        <v>956</v>
      </c>
      <c r="J145" s="7" t="s">
        <v>1028</v>
      </c>
      <c r="K145" s="7" t="str">
        <f t="shared" si="0"/>
        <v xml:space="preserve">http://slimages.macys.com/is/image/MCY/8182285 </v>
      </c>
    </row>
    <row r="146" spans="1:11" ht="20.100000000000001" customHeight="1" x14ac:dyDescent="0.25">
      <c r="A146" s="12" t="s">
        <v>1362</v>
      </c>
      <c r="B146" s="13">
        <v>13768424</v>
      </c>
      <c r="C146" s="8">
        <v>706257404416</v>
      </c>
      <c r="D146" s="6" t="s">
        <v>1422</v>
      </c>
      <c r="E146" s="18">
        <v>1</v>
      </c>
      <c r="F146" s="14">
        <v>164.99</v>
      </c>
      <c r="G146" s="14">
        <v>164.99</v>
      </c>
      <c r="H146" s="7" t="s">
        <v>941</v>
      </c>
      <c r="I146" s="7" t="s">
        <v>956</v>
      </c>
      <c r="J146" s="7" t="s">
        <v>1028</v>
      </c>
      <c r="K146" s="7" t="str">
        <f t="shared" si="0"/>
        <v xml:space="preserve">http://slimages.macys.com/is/image/MCY/8182285 </v>
      </c>
    </row>
    <row r="147" spans="1:11" ht="20.100000000000001" customHeight="1" x14ac:dyDescent="0.25">
      <c r="A147" s="12" t="s">
        <v>1362</v>
      </c>
      <c r="B147" s="13">
        <v>13768424</v>
      </c>
      <c r="C147" s="8">
        <v>706257404522</v>
      </c>
      <c r="D147" s="6" t="s">
        <v>728</v>
      </c>
      <c r="E147" s="18">
        <v>1</v>
      </c>
      <c r="F147" s="14">
        <v>99.99</v>
      </c>
      <c r="G147" s="14">
        <v>99.99</v>
      </c>
      <c r="H147" s="7" t="s">
        <v>941</v>
      </c>
      <c r="I147" s="7" t="s">
        <v>956</v>
      </c>
      <c r="J147" s="7" t="s">
        <v>1028</v>
      </c>
      <c r="K147" s="7" t="str">
        <f t="shared" si="0"/>
        <v xml:space="preserve">http://slimages.macys.com/is/image/MCY/8182285 </v>
      </c>
    </row>
    <row r="148" spans="1:11" ht="20.100000000000001" customHeight="1" x14ac:dyDescent="0.25">
      <c r="A148" s="12" t="s">
        <v>1362</v>
      </c>
      <c r="B148" s="13">
        <v>13768424</v>
      </c>
      <c r="C148" s="8">
        <v>706257404539</v>
      </c>
      <c r="D148" s="6" t="s">
        <v>728</v>
      </c>
      <c r="E148" s="18">
        <v>1</v>
      </c>
      <c r="F148" s="14">
        <v>99.99</v>
      </c>
      <c r="G148" s="14">
        <v>99.99</v>
      </c>
      <c r="H148" s="7" t="s">
        <v>941</v>
      </c>
      <c r="I148" s="7" t="s">
        <v>956</v>
      </c>
      <c r="J148" s="7" t="s">
        <v>1028</v>
      </c>
      <c r="K148" s="7" t="str">
        <f t="shared" si="0"/>
        <v xml:space="preserve">http://slimages.macys.com/is/image/MCY/8182285 </v>
      </c>
    </row>
    <row r="149" spans="1:11" ht="20.100000000000001" customHeight="1" x14ac:dyDescent="0.25">
      <c r="A149" s="12" t="s">
        <v>1362</v>
      </c>
      <c r="B149" s="13">
        <v>13768424</v>
      </c>
      <c r="C149" s="8">
        <v>706257404577</v>
      </c>
      <c r="D149" s="6" t="s">
        <v>729</v>
      </c>
      <c r="E149" s="18">
        <v>1</v>
      </c>
      <c r="F149" s="14">
        <v>64.989999999999995</v>
      </c>
      <c r="G149" s="14">
        <v>64.989999999999995</v>
      </c>
      <c r="H149" s="7" t="s">
        <v>941</v>
      </c>
      <c r="I149" s="7" t="s">
        <v>956</v>
      </c>
      <c r="J149" s="7" t="s">
        <v>1028</v>
      </c>
      <c r="K149" s="7" t="str">
        <f t="shared" si="0"/>
        <v xml:space="preserve">http://slimages.macys.com/is/image/MCY/8182285 </v>
      </c>
    </row>
    <row r="150" spans="1:11" ht="20.100000000000001" customHeight="1" x14ac:dyDescent="0.25">
      <c r="A150" s="12" t="s">
        <v>1362</v>
      </c>
      <c r="B150" s="13">
        <v>13768424</v>
      </c>
      <c r="C150" s="8">
        <v>706257404652</v>
      </c>
      <c r="D150" s="6" t="s">
        <v>730</v>
      </c>
      <c r="E150" s="18">
        <v>1</v>
      </c>
      <c r="F150" s="14">
        <v>99.99</v>
      </c>
      <c r="G150" s="14">
        <v>99.99</v>
      </c>
      <c r="H150" s="7" t="s">
        <v>938</v>
      </c>
      <c r="I150" s="7" t="s">
        <v>956</v>
      </c>
      <c r="J150" s="7" t="s">
        <v>1028</v>
      </c>
      <c r="K150" s="7" t="str">
        <f t="shared" si="0"/>
        <v xml:space="preserve">http://slimages.macys.com/is/image/MCY/8182285 </v>
      </c>
    </row>
    <row r="151" spans="1:11" ht="20.100000000000001" customHeight="1" x14ac:dyDescent="0.25">
      <c r="A151" s="12" t="s">
        <v>1362</v>
      </c>
      <c r="B151" s="13">
        <v>13768424</v>
      </c>
      <c r="C151" s="8">
        <v>706257404669</v>
      </c>
      <c r="D151" s="6" t="s">
        <v>1122</v>
      </c>
      <c r="E151" s="18">
        <v>1</v>
      </c>
      <c r="F151" s="14">
        <v>139.99</v>
      </c>
      <c r="G151" s="14">
        <v>139.99</v>
      </c>
      <c r="H151" s="7" t="s">
        <v>938</v>
      </c>
      <c r="I151" s="7" t="s">
        <v>956</v>
      </c>
      <c r="J151" s="7" t="s">
        <v>1028</v>
      </c>
      <c r="K151" s="7" t="str">
        <f t="shared" si="0"/>
        <v xml:space="preserve">http://slimages.macys.com/is/image/MCY/8182285 </v>
      </c>
    </row>
    <row r="152" spans="1:11" ht="20.100000000000001" customHeight="1" x14ac:dyDescent="0.25">
      <c r="A152" s="12" t="s">
        <v>1362</v>
      </c>
      <c r="B152" s="13">
        <v>13768424</v>
      </c>
      <c r="C152" s="8">
        <v>706257404676</v>
      </c>
      <c r="D152" s="6" t="s">
        <v>1122</v>
      </c>
      <c r="E152" s="18">
        <v>1</v>
      </c>
      <c r="F152" s="14">
        <v>139.99</v>
      </c>
      <c r="G152" s="14">
        <v>139.99</v>
      </c>
      <c r="H152" s="7" t="s">
        <v>938</v>
      </c>
      <c r="I152" s="7" t="s">
        <v>956</v>
      </c>
      <c r="J152" s="7" t="s">
        <v>1028</v>
      </c>
      <c r="K152" s="7" t="str">
        <f t="shared" si="0"/>
        <v xml:space="preserve">http://slimages.macys.com/is/image/MCY/8182285 </v>
      </c>
    </row>
    <row r="153" spans="1:11" ht="20.100000000000001" customHeight="1" x14ac:dyDescent="0.25">
      <c r="A153" s="12" t="s">
        <v>1362</v>
      </c>
      <c r="B153" s="13">
        <v>13768424</v>
      </c>
      <c r="C153" s="8">
        <v>706257404690</v>
      </c>
      <c r="D153" s="6" t="s">
        <v>731</v>
      </c>
      <c r="E153" s="18">
        <v>1</v>
      </c>
      <c r="F153" s="14">
        <v>64.989999999999995</v>
      </c>
      <c r="G153" s="14">
        <v>64.989999999999995</v>
      </c>
      <c r="H153" s="7" t="s">
        <v>938</v>
      </c>
      <c r="I153" s="7" t="s">
        <v>956</v>
      </c>
      <c r="J153" s="7" t="s">
        <v>1028</v>
      </c>
      <c r="K153" s="7" t="str">
        <f t="shared" si="0"/>
        <v xml:space="preserve">http://slimages.macys.com/is/image/MCY/8182285 </v>
      </c>
    </row>
    <row r="154" spans="1:11" ht="20.100000000000001" customHeight="1" x14ac:dyDescent="0.25">
      <c r="A154" s="12" t="s">
        <v>1362</v>
      </c>
      <c r="B154" s="13">
        <v>13768424</v>
      </c>
      <c r="C154" s="8">
        <v>706257490365</v>
      </c>
      <c r="D154" s="6" t="s">
        <v>1585</v>
      </c>
      <c r="E154" s="18">
        <v>1</v>
      </c>
      <c r="F154" s="14">
        <v>9.99</v>
      </c>
      <c r="G154" s="14">
        <v>9.99</v>
      </c>
      <c r="H154" s="7" t="s">
        <v>941</v>
      </c>
      <c r="I154" s="7" t="s">
        <v>971</v>
      </c>
      <c r="J154" s="7" t="s">
        <v>989</v>
      </c>
      <c r="K154" s="7" t="str">
        <f>HYPERLINK("http://slimages.macys.com/is/image/MCY/12723168 ")</f>
        <v xml:space="preserve">http://slimages.macys.com/is/image/MCY/12723168 </v>
      </c>
    </row>
    <row r="155" spans="1:11" ht="20.100000000000001" customHeight="1" x14ac:dyDescent="0.25">
      <c r="A155" s="12" t="s">
        <v>1362</v>
      </c>
      <c r="B155" s="13">
        <v>13768424</v>
      </c>
      <c r="C155" s="8">
        <v>706257490365</v>
      </c>
      <c r="D155" s="6" t="s">
        <v>1585</v>
      </c>
      <c r="E155" s="18">
        <v>1</v>
      </c>
      <c r="F155" s="14">
        <v>9.99</v>
      </c>
      <c r="G155" s="14">
        <v>9.99</v>
      </c>
      <c r="H155" s="7" t="s">
        <v>941</v>
      </c>
      <c r="I155" s="7" t="s">
        <v>971</v>
      </c>
      <c r="J155" s="7" t="s">
        <v>989</v>
      </c>
      <c r="K155" s="7" t="str">
        <f>HYPERLINK("http://slimages.macys.com/is/image/MCY/12723168 ")</f>
        <v xml:space="preserve">http://slimages.macys.com/is/image/MCY/12723168 </v>
      </c>
    </row>
    <row r="156" spans="1:11" ht="20.100000000000001" customHeight="1" x14ac:dyDescent="0.25">
      <c r="A156" s="12" t="s">
        <v>1362</v>
      </c>
      <c r="B156" s="13">
        <v>13768424</v>
      </c>
      <c r="C156" s="8">
        <v>706257490488</v>
      </c>
      <c r="D156" s="6" t="s">
        <v>732</v>
      </c>
      <c r="E156" s="18">
        <v>1</v>
      </c>
      <c r="F156" s="14">
        <v>7.99</v>
      </c>
      <c r="G156" s="14">
        <v>7.99</v>
      </c>
      <c r="H156" s="7" t="s">
        <v>1025</v>
      </c>
      <c r="I156" s="7" t="s">
        <v>971</v>
      </c>
      <c r="J156" s="7" t="s">
        <v>989</v>
      </c>
      <c r="K156" s="7" t="str">
        <f>HYPERLINK("http://slimages.macys.com/is/image/MCY/8128182 ")</f>
        <v xml:space="preserve">http://slimages.macys.com/is/image/MCY/8128182 </v>
      </c>
    </row>
    <row r="157" spans="1:11" ht="20.100000000000001" customHeight="1" x14ac:dyDescent="0.25">
      <c r="A157" s="12" t="s">
        <v>1362</v>
      </c>
      <c r="B157" s="13">
        <v>13768424</v>
      </c>
      <c r="C157" s="8">
        <v>706257998113</v>
      </c>
      <c r="D157" s="6" t="s">
        <v>1078</v>
      </c>
      <c r="E157" s="18">
        <v>1</v>
      </c>
      <c r="F157" s="14">
        <v>239.99</v>
      </c>
      <c r="G157" s="14">
        <v>239.99</v>
      </c>
      <c r="H157" s="7" t="s">
        <v>1036</v>
      </c>
      <c r="I157" s="7" t="s">
        <v>956</v>
      </c>
      <c r="J157" s="7" t="s">
        <v>1014</v>
      </c>
      <c r="K157" s="7" t="str">
        <f>HYPERLINK("http://slimages.macys.com/is/image/MCY/13891271 ")</f>
        <v xml:space="preserve">http://slimages.macys.com/is/image/MCY/13891271 </v>
      </c>
    </row>
    <row r="158" spans="1:11" ht="20.100000000000001" customHeight="1" x14ac:dyDescent="0.25">
      <c r="A158" s="12" t="s">
        <v>1362</v>
      </c>
      <c r="B158" s="13">
        <v>13768424</v>
      </c>
      <c r="C158" s="8">
        <v>706257998144</v>
      </c>
      <c r="D158" s="6" t="s">
        <v>1152</v>
      </c>
      <c r="E158" s="18">
        <v>1</v>
      </c>
      <c r="F158" s="14">
        <v>249.99</v>
      </c>
      <c r="G158" s="14">
        <v>249.99</v>
      </c>
      <c r="H158" s="7" t="s">
        <v>1036</v>
      </c>
      <c r="I158" s="7" t="s">
        <v>956</v>
      </c>
      <c r="J158" s="7" t="s">
        <v>1014</v>
      </c>
      <c r="K158" s="7" t="str">
        <f>HYPERLINK("http://slimages.macys.com/is/image/MCY/13891271 ")</f>
        <v xml:space="preserve">http://slimages.macys.com/is/image/MCY/13891271 </v>
      </c>
    </row>
    <row r="159" spans="1:11" ht="20.100000000000001" customHeight="1" x14ac:dyDescent="0.25">
      <c r="A159" s="12" t="s">
        <v>1362</v>
      </c>
      <c r="B159" s="13">
        <v>13768424</v>
      </c>
      <c r="C159" s="8">
        <v>706257998151</v>
      </c>
      <c r="D159" s="6" t="s">
        <v>733</v>
      </c>
      <c r="E159" s="18">
        <v>1</v>
      </c>
      <c r="F159" s="14">
        <v>79.989999999999995</v>
      </c>
      <c r="G159" s="14">
        <v>79.989999999999995</v>
      </c>
      <c r="H159" s="7" t="s">
        <v>1036</v>
      </c>
      <c r="I159" s="7" t="s">
        <v>956</v>
      </c>
      <c r="J159" s="7" t="s">
        <v>1014</v>
      </c>
      <c r="K159" s="7" t="str">
        <f>HYPERLINK("http://slimages.macys.com/is/image/MCY/8453088 ")</f>
        <v xml:space="preserve">http://slimages.macys.com/is/image/MCY/8453088 </v>
      </c>
    </row>
    <row r="160" spans="1:11" ht="20.100000000000001" customHeight="1" x14ac:dyDescent="0.25">
      <c r="A160" s="12" t="s">
        <v>1362</v>
      </c>
      <c r="B160" s="13">
        <v>13768424</v>
      </c>
      <c r="C160" s="8">
        <v>706257998182</v>
      </c>
      <c r="D160" s="6" t="s">
        <v>734</v>
      </c>
      <c r="E160" s="18">
        <v>2</v>
      </c>
      <c r="F160" s="14">
        <v>89.99</v>
      </c>
      <c r="G160" s="14">
        <v>179.98</v>
      </c>
      <c r="H160" s="7" t="s">
        <v>1036</v>
      </c>
      <c r="I160" s="7" t="s">
        <v>956</v>
      </c>
      <c r="J160" s="7" t="s">
        <v>1014</v>
      </c>
      <c r="K160" s="7" t="str">
        <f>HYPERLINK("http://slimages.macys.com/is/image/MCY/8453088 ")</f>
        <v xml:space="preserve">http://slimages.macys.com/is/image/MCY/8453088 </v>
      </c>
    </row>
    <row r="161" spans="1:11" ht="20.100000000000001" customHeight="1" x14ac:dyDescent="0.25">
      <c r="A161" s="12" t="s">
        <v>1362</v>
      </c>
      <c r="B161" s="13">
        <v>13768424</v>
      </c>
      <c r="C161" s="8">
        <v>706257998199</v>
      </c>
      <c r="D161" s="6" t="s">
        <v>1423</v>
      </c>
      <c r="E161" s="18">
        <v>2</v>
      </c>
      <c r="F161" s="14">
        <v>89.99</v>
      </c>
      <c r="G161" s="14">
        <v>179.98</v>
      </c>
      <c r="H161" s="7" t="s">
        <v>1036</v>
      </c>
      <c r="I161" s="7" t="s">
        <v>956</v>
      </c>
      <c r="J161" s="7" t="s">
        <v>1014</v>
      </c>
      <c r="K161" s="7" t="str">
        <f>HYPERLINK("http://slimages.macys.com/is/image/MCY/8453087 ")</f>
        <v xml:space="preserve">http://slimages.macys.com/is/image/MCY/8453087 </v>
      </c>
    </row>
    <row r="162" spans="1:11" ht="20.100000000000001" customHeight="1" x14ac:dyDescent="0.25">
      <c r="A162" s="12" t="s">
        <v>1362</v>
      </c>
      <c r="B162" s="13">
        <v>13768424</v>
      </c>
      <c r="C162" s="8">
        <v>706258049197</v>
      </c>
      <c r="D162" s="6" t="s">
        <v>735</v>
      </c>
      <c r="E162" s="18">
        <v>1</v>
      </c>
      <c r="F162" s="14">
        <v>99.99</v>
      </c>
      <c r="G162" s="14">
        <v>99.99</v>
      </c>
      <c r="H162" s="7" t="s">
        <v>1032</v>
      </c>
      <c r="I162" s="7" t="s">
        <v>969</v>
      </c>
      <c r="J162" s="7" t="s">
        <v>970</v>
      </c>
      <c r="K162" s="7" t="str">
        <f>HYPERLINK("http://slimages.macys.com/is/image/MCY/8433239 ")</f>
        <v xml:space="preserve">http://slimages.macys.com/is/image/MCY/8433239 </v>
      </c>
    </row>
    <row r="163" spans="1:11" ht="20.100000000000001" customHeight="1" x14ac:dyDescent="0.25">
      <c r="A163" s="12" t="s">
        <v>1362</v>
      </c>
      <c r="B163" s="13">
        <v>13768424</v>
      </c>
      <c r="C163" s="8">
        <v>706258050070</v>
      </c>
      <c r="D163" s="6" t="s">
        <v>736</v>
      </c>
      <c r="E163" s="18">
        <v>1</v>
      </c>
      <c r="F163" s="14">
        <v>39.99</v>
      </c>
      <c r="G163" s="14">
        <v>39.99</v>
      </c>
      <c r="H163" s="7" t="s">
        <v>976</v>
      </c>
      <c r="I163" s="7" t="s">
        <v>969</v>
      </c>
      <c r="J163" s="7" t="s">
        <v>970</v>
      </c>
      <c r="K163" s="7" t="str">
        <f>HYPERLINK("http://slimages.macys.com/is/image/MCY/8433239 ")</f>
        <v xml:space="preserve">http://slimages.macys.com/is/image/MCY/8433239 </v>
      </c>
    </row>
    <row r="164" spans="1:11" ht="20.100000000000001" customHeight="1" x14ac:dyDescent="0.25">
      <c r="A164" s="12" t="s">
        <v>1362</v>
      </c>
      <c r="B164" s="13">
        <v>13768424</v>
      </c>
      <c r="C164" s="8">
        <v>706258050568</v>
      </c>
      <c r="D164" s="6" t="s">
        <v>1015</v>
      </c>
      <c r="E164" s="18">
        <v>1</v>
      </c>
      <c r="F164" s="14">
        <v>69.989999999999995</v>
      </c>
      <c r="G164" s="14">
        <v>69.989999999999995</v>
      </c>
      <c r="H164" s="7" t="s">
        <v>941</v>
      </c>
      <c r="I164" s="7" t="s">
        <v>969</v>
      </c>
      <c r="J164" s="7" t="s">
        <v>970</v>
      </c>
      <c r="K164" s="7" t="str">
        <f>HYPERLINK("http://slimages.macys.com/is/image/MCY/11607139 ")</f>
        <v xml:space="preserve">http://slimages.macys.com/is/image/MCY/11607139 </v>
      </c>
    </row>
    <row r="165" spans="1:11" ht="20.100000000000001" customHeight="1" x14ac:dyDescent="0.25">
      <c r="A165" s="12" t="s">
        <v>1362</v>
      </c>
      <c r="B165" s="13">
        <v>13768424</v>
      </c>
      <c r="C165" s="8">
        <v>706258050810</v>
      </c>
      <c r="D165" s="6" t="s">
        <v>1009</v>
      </c>
      <c r="E165" s="18">
        <v>1</v>
      </c>
      <c r="F165" s="14">
        <v>99.99</v>
      </c>
      <c r="G165" s="14">
        <v>99.99</v>
      </c>
      <c r="H165" s="7" t="s">
        <v>968</v>
      </c>
      <c r="I165" s="7" t="s">
        <v>969</v>
      </c>
      <c r="J165" s="7" t="s">
        <v>970</v>
      </c>
      <c r="K165" s="7" t="str">
        <f>HYPERLINK("http://slimages.macys.com/is/image/MCY/11607139 ")</f>
        <v xml:space="preserve">http://slimages.macys.com/is/image/MCY/11607139 </v>
      </c>
    </row>
    <row r="166" spans="1:11" ht="20.100000000000001" customHeight="1" x14ac:dyDescent="0.25">
      <c r="A166" s="12" t="s">
        <v>1362</v>
      </c>
      <c r="B166" s="13">
        <v>13768424</v>
      </c>
      <c r="C166" s="8">
        <v>706258051374</v>
      </c>
      <c r="D166" s="6" t="s">
        <v>1312</v>
      </c>
      <c r="E166" s="18">
        <v>1</v>
      </c>
      <c r="F166" s="14">
        <v>99.99</v>
      </c>
      <c r="G166" s="14">
        <v>99.99</v>
      </c>
      <c r="H166" s="7" t="s">
        <v>941</v>
      </c>
      <c r="I166" s="7" t="s">
        <v>969</v>
      </c>
      <c r="J166" s="7" t="s">
        <v>970</v>
      </c>
      <c r="K166" s="7" t="str">
        <f>HYPERLINK("http://slimages.macys.com/is/image/MCY/11534834 ")</f>
        <v xml:space="preserve">http://slimages.macys.com/is/image/MCY/11534834 </v>
      </c>
    </row>
    <row r="167" spans="1:11" ht="20.100000000000001" customHeight="1" x14ac:dyDescent="0.25">
      <c r="A167" s="12" t="s">
        <v>1362</v>
      </c>
      <c r="B167" s="13">
        <v>13768424</v>
      </c>
      <c r="C167" s="8">
        <v>706258051411</v>
      </c>
      <c r="D167" s="6" t="s">
        <v>1378</v>
      </c>
      <c r="E167" s="18">
        <v>1</v>
      </c>
      <c r="F167" s="14">
        <v>109.99</v>
      </c>
      <c r="G167" s="14">
        <v>109.99</v>
      </c>
      <c r="H167" s="7" t="s">
        <v>941</v>
      </c>
      <c r="I167" s="7" t="s">
        <v>969</v>
      </c>
      <c r="J167" s="7" t="s">
        <v>970</v>
      </c>
      <c r="K167" s="7" t="str">
        <f>HYPERLINK("http://slimages.macys.com/is/image/MCY/11534834 ")</f>
        <v xml:space="preserve">http://slimages.macys.com/is/image/MCY/11534834 </v>
      </c>
    </row>
    <row r="168" spans="1:11" ht="20.100000000000001" customHeight="1" x14ac:dyDescent="0.25">
      <c r="A168" s="12" t="s">
        <v>1362</v>
      </c>
      <c r="B168" s="13">
        <v>13768424</v>
      </c>
      <c r="C168" s="8">
        <v>706258089506</v>
      </c>
      <c r="D168" s="6" t="s">
        <v>737</v>
      </c>
      <c r="E168" s="18">
        <v>2</v>
      </c>
      <c r="F168" s="14">
        <v>69.989999999999995</v>
      </c>
      <c r="G168" s="14">
        <v>139.97999999999999</v>
      </c>
      <c r="H168" s="7" t="s">
        <v>941</v>
      </c>
      <c r="I168" s="7" t="s">
        <v>969</v>
      </c>
      <c r="J168" s="7" t="s">
        <v>970</v>
      </c>
      <c r="K168" s="7" t="str">
        <f t="shared" ref="K168:K173" si="1">HYPERLINK("http://slimages.macys.com/is/image/MCY/8433239 ")</f>
        <v xml:space="preserve">http://slimages.macys.com/is/image/MCY/8433239 </v>
      </c>
    </row>
    <row r="169" spans="1:11" ht="20.100000000000001" customHeight="1" x14ac:dyDescent="0.25">
      <c r="A169" s="12" t="s">
        <v>1362</v>
      </c>
      <c r="B169" s="13">
        <v>13768424</v>
      </c>
      <c r="C169" s="8">
        <v>706258089742</v>
      </c>
      <c r="D169" s="6" t="s">
        <v>1288</v>
      </c>
      <c r="E169" s="18">
        <v>1</v>
      </c>
      <c r="F169" s="14">
        <v>119.99</v>
      </c>
      <c r="G169" s="14">
        <v>119.99</v>
      </c>
      <c r="H169" s="7" t="s">
        <v>941</v>
      </c>
      <c r="I169" s="7" t="s">
        <v>969</v>
      </c>
      <c r="J169" s="7" t="s">
        <v>970</v>
      </c>
      <c r="K169" s="7" t="str">
        <f t="shared" si="1"/>
        <v xml:space="preserve">http://slimages.macys.com/is/image/MCY/8433239 </v>
      </c>
    </row>
    <row r="170" spans="1:11" ht="20.100000000000001" customHeight="1" x14ac:dyDescent="0.25">
      <c r="A170" s="12" t="s">
        <v>1362</v>
      </c>
      <c r="B170" s="13">
        <v>13768424</v>
      </c>
      <c r="C170" s="8">
        <v>706258089742</v>
      </c>
      <c r="D170" s="6" t="s">
        <v>1288</v>
      </c>
      <c r="E170" s="18">
        <v>1</v>
      </c>
      <c r="F170" s="14">
        <v>119.99</v>
      </c>
      <c r="G170" s="14">
        <v>119.99</v>
      </c>
      <c r="H170" s="7" t="s">
        <v>941</v>
      </c>
      <c r="I170" s="7" t="s">
        <v>969</v>
      </c>
      <c r="J170" s="7" t="s">
        <v>970</v>
      </c>
      <c r="K170" s="7" t="str">
        <f t="shared" si="1"/>
        <v xml:space="preserve">http://slimages.macys.com/is/image/MCY/8433239 </v>
      </c>
    </row>
    <row r="171" spans="1:11" ht="20.100000000000001" customHeight="1" x14ac:dyDescent="0.25">
      <c r="A171" s="12" t="s">
        <v>1362</v>
      </c>
      <c r="B171" s="13">
        <v>13768424</v>
      </c>
      <c r="C171" s="8">
        <v>706258090052</v>
      </c>
      <c r="D171" s="6" t="s">
        <v>738</v>
      </c>
      <c r="E171" s="18">
        <v>1</v>
      </c>
      <c r="F171" s="14">
        <v>129.99</v>
      </c>
      <c r="G171" s="14">
        <v>129.99</v>
      </c>
      <c r="H171" s="7" t="s">
        <v>981</v>
      </c>
      <c r="I171" s="7" t="s">
        <v>969</v>
      </c>
      <c r="J171" s="7" t="s">
        <v>970</v>
      </c>
      <c r="K171" s="7" t="str">
        <f t="shared" si="1"/>
        <v xml:space="preserve">http://slimages.macys.com/is/image/MCY/8433239 </v>
      </c>
    </row>
    <row r="172" spans="1:11" ht="20.100000000000001" customHeight="1" x14ac:dyDescent="0.25">
      <c r="A172" s="12" t="s">
        <v>1362</v>
      </c>
      <c r="B172" s="13">
        <v>13768424</v>
      </c>
      <c r="C172" s="8">
        <v>706258090250</v>
      </c>
      <c r="D172" s="6" t="s">
        <v>1177</v>
      </c>
      <c r="E172" s="18">
        <v>2</v>
      </c>
      <c r="F172" s="14">
        <v>69.989999999999995</v>
      </c>
      <c r="G172" s="14">
        <v>139.97999999999999</v>
      </c>
      <c r="H172" s="7" t="s">
        <v>941</v>
      </c>
      <c r="I172" s="7" t="s">
        <v>969</v>
      </c>
      <c r="J172" s="7" t="s">
        <v>970</v>
      </c>
      <c r="K172" s="7" t="str">
        <f t="shared" si="1"/>
        <v xml:space="preserve">http://slimages.macys.com/is/image/MCY/8433239 </v>
      </c>
    </row>
    <row r="173" spans="1:11" ht="20.100000000000001" customHeight="1" x14ac:dyDescent="0.25">
      <c r="A173" s="12" t="s">
        <v>1362</v>
      </c>
      <c r="B173" s="13">
        <v>13768424</v>
      </c>
      <c r="C173" s="8">
        <v>706258090281</v>
      </c>
      <c r="D173" s="6" t="s">
        <v>739</v>
      </c>
      <c r="E173" s="18">
        <v>1</v>
      </c>
      <c r="F173" s="14">
        <v>69.989999999999995</v>
      </c>
      <c r="G173" s="14">
        <v>69.989999999999995</v>
      </c>
      <c r="H173" s="7" t="s">
        <v>981</v>
      </c>
      <c r="I173" s="7" t="s">
        <v>969</v>
      </c>
      <c r="J173" s="7" t="s">
        <v>970</v>
      </c>
      <c r="K173" s="7" t="str">
        <f t="shared" si="1"/>
        <v xml:space="preserve">http://slimages.macys.com/is/image/MCY/8433239 </v>
      </c>
    </row>
    <row r="174" spans="1:11" ht="20.100000000000001" customHeight="1" x14ac:dyDescent="0.25">
      <c r="A174" s="12" t="s">
        <v>1362</v>
      </c>
      <c r="B174" s="13">
        <v>13768424</v>
      </c>
      <c r="C174" s="8">
        <v>706258090830</v>
      </c>
      <c r="D174" s="6" t="s">
        <v>740</v>
      </c>
      <c r="E174" s="18">
        <v>1</v>
      </c>
      <c r="F174" s="14">
        <v>119.99</v>
      </c>
      <c r="G174" s="14">
        <v>119.99</v>
      </c>
      <c r="H174" s="7" t="s">
        <v>1054</v>
      </c>
      <c r="I174" s="7" t="s">
        <v>969</v>
      </c>
      <c r="J174" s="7" t="s">
        <v>970</v>
      </c>
      <c r="K174" s="7" t="str">
        <f>HYPERLINK("http://slimages.macys.com/is/image/MCY/11607139 ")</f>
        <v xml:space="preserve">http://slimages.macys.com/is/image/MCY/11607139 </v>
      </c>
    </row>
    <row r="175" spans="1:11" ht="20.100000000000001" customHeight="1" x14ac:dyDescent="0.25">
      <c r="A175" s="12" t="s">
        <v>1362</v>
      </c>
      <c r="B175" s="13">
        <v>13768424</v>
      </c>
      <c r="C175" s="8">
        <v>706258155188</v>
      </c>
      <c r="D175" s="6" t="s">
        <v>741</v>
      </c>
      <c r="E175" s="18">
        <v>1</v>
      </c>
      <c r="F175" s="14">
        <v>34.99</v>
      </c>
      <c r="G175" s="14">
        <v>34.99</v>
      </c>
      <c r="H175" s="7" t="s">
        <v>950</v>
      </c>
      <c r="I175" s="7" t="s">
        <v>1097</v>
      </c>
      <c r="J175" s="7" t="s">
        <v>1098</v>
      </c>
      <c r="K175" s="7" t="str">
        <f>HYPERLINK("http://slimages.macys.com/is/image/MCY/11321047 ")</f>
        <v xml:space="preserve">http://slimages.macys.com/is/image/MCY/11321047 </v>
      </c>
    </row>
    <row r="176" spans="1:11" ht="20.100000000000001" customHeight="1" x14ac:dyDescent="0.25">
      <c r="A176" s="12" t="s">
        <v>1362</v>
      </c>
      <c r="B176" s="13">
        <v>13768424</v>
      </c>
      <c r="C176" s="8">
        <v>706258596677</v>
      </c>
      <c r="D176" s="6" t="s">
        <v>742</v>
      </c>
      <c r="E176" s="18">
        <v>1</v>
      </c>
      <c r="F176" s="14">
        <v>99.99</v>
      </c>
      <c r="G176" s="14">
        <v>99.99</v>
      </c>
      <c r="H176" s="7" t="s">
        <v>941</v>
      </c>
      <c r="I176" s="7" t="s">
        <v>969</v>
      </c>
      <c r="J176" s="7" t="s">
        <v>1035</v>
      </c>
      <c r="K176" s="7" t="str">
        <f>HYPERLINK("http://slimages.macys.com/is/image/MCY/8813910 ")</f>
        <v xml:space="preserve">http://slimages.macys.com/is/image/MCY/8813910 </v>
      </c>
    </row>
    <row r="177" spans="1:11" ht="20.100000000000001" customHeight="1" x14ac:dyDescent="0.25">
      <c r="A177" s="12" t="s">
        <v>1362</v>
      </c>
      <c r="B177" s="13">
        <v>13768424</v>
      </c>
      <c r="C177" s="8">
        <v>706258615880</v>
      </c>
      <c r="D177" s="6" t="s">
        <v>1313</v>
      </c>
      <c r="E177" s="18">
        <v>1</v>
      </c>
      <c r="F177" s="14">
        <v>41.99</v>
      </c>
      <c r="G177" s="14">
        <v>41.99</v>
      </c>
      <c r="H177" s="7" t="s">
        <v>994</v>
      </c>
      <c r="I177" s="7" t="s">
        <v>1058</v>
      </c>
      <c r="J177" s="7" t="s">
        <v>1197</v>
      </c>
      <c r="K177" s="7" t="str">
        <f>HYPERLINK("http://slimages.macys.com/is/image/MCY/9406085 ")</f>
        <v xml:space="preserve">http://slimages.macys.com/is/image/MCY/9406085 </v>
      </c>
    </row>
    <row r="178" spans="1:11" ht="20.100000000000001" customHeight="1" x14ac:dyDescent="0.25">
      <c r="A178" s="12" t="s">
        <v>1362</v>
      </c>
      <c r="B178" s="13">
        <v>13768424</v>
      </c>
      <c r="C178" s="8">
        <v>706258615903</v>
      </c>
      <c r="D178" s="6" t="s">
        <v>1594</v>
      </c>
      <c r="E178" s="18">
        <v>1</v>
      </c>
      <c r="F178" s="14">
        <v>29.99</v>
      </c>
      <c r="G178" s="14">
        <v>29.99</v>
      </c>
      <c r="H178" s="7" t="s">
        <v>994</v>
      </c>
      <c r="I178" s="7" t="s">
        <v>1058</v>
      </c>
      <c r="J178" s="7" t="s">
        <v>1197</v>
      </c>
      <c r="K178" s="7" t="str">
        <f>HYPERLINK("http://slimages.macys.com/is/image/MCY/9406085 ")</f>
        <v xml:space="preserve">http://slimages.macys.com/is/image/MCY/9406085 </v>
      </c>
    </row>
    <row r="179" spans="1:11" ht="20.100000000000001" customHeight="1" x14ac:dyDescent="0.25">
      <c r="A179" s="12" t="s">
        <v>1362</v>
      </c>
      <c r="B179" s="13">
        <v>13768424</v>
      </c>
      <c r="C179" s="8">
        <v>706258616368</v>
      </c>
      <c r="D179" s="6" t="s">
        <v>1596</v>
      </c>
      <c r="E179" s="18">
        <v>1</v>
      </c>
      <c r="F179" s="14">
        <v>59.99</v>
      </c>
      <c r="G179" s="14">
        <v>59.99</v>
      </c>
      <c r="H179" s="7" t="s">
        <v>994</v>
      </c>
      <c r="I179" s="7" t="s">
        <v>1058</v>
      </c>
      <c r="J179" s="7" t="s">
        <v>1197</v>
      </c>
      <c r="K179" s="7" t="str">
        <f>HYPERLINK("http://slimages.macys.com/is/image/MCY/256335 ")</f>
        <v xml:space="preserve">http://slimages.macys.com/is/image/MCY/256335 </v>
      </c>
    </row>
    <row r="180" spans="1:11" ht="20.100000000000001" customHeight="1" x14ac:dyDescent="0.25">
      <c r="A180" s="12" t="s">
        <v>1362</v>
      </c>
      <c r="B180" s="13">
        <v>13768424</v>
      </c>
      <c r="C180" s="8">
        <v>706258617624</v>
      </c>
      <c r="D180" s="6" t="s">
        <v>743</v>
      </c>
      <c r="E180" s="18">
        <v>1</v>
      </c>
      <c r="F180" s="14">
        <v>16.989999999999998</v>
      </c>
      <c r="G180" s="14">
        <v>16.989999999999998</v>
      </c>
      <c r="H180" s="7" t="s">
        <v>941</v>
      </c>
      <c r="I180" s="7" t="s">
        <v>1058</v>
      </c>
      <c r="J180" s="7" t="s">
        <v>1197</v>
      </c>
      <c r="K180" s="7" t="str">
        <f>HYPERLINK("http://slimages.macys.com/is/image/MCY/3814766 ")</f>
        <v xml:space="preserve">http://slimages.macys.com/is/image/MCY/3814766 </v>
      </c>
    </row>
    <row r="181" spans="1:11" ht="20.100000000000001" customHeight="1" x14ac:dyDescent="0.25">
      <c r="A181" s="12" t="s">
        <v>1362</v>
      </c>
      <c r="B181" s="13">
        <v>13768424</v>
      </c>
      <c r="C181" s="8">
        <v>706258633310</v>
      </c>
      <c r="D181" s="6" t="s">
        <v>1262</v>
      </c>
      <c r="E181" s="18">
        <v>2</v>
      </c>
      <c r="F181" s="14">
        <v>99.99</v>
      </c>
      <c r="G181" s="14">
        <v>199.98</v>
      </c>
      <c r="H181" s="7" t="s">
        <v>941</v>
      </c>
      <c r="I181" s="7" t="s">
        <v>1080</v>
      </c>
      <c r="J181" s="7" t="s">
        <v>1117</v>
      </c>
      <c r="K181" s="7" t="str">
        <f>HYPERLINK("http://slimages.macys.com/is/image/MCY/8905437 ")</f>
        <v xml:space="preserve">http://slimages.macys.com/is/image/MCY/8905437 </v>
      </c>
    </row>
    <row r="182" spans="1:11" ht="20.100000000000001" customHeight="1" x14ac:dyDescent="0.25">
      <c r="A182" s="12" t="s">
        <v>1362</v>
      </c>
      <c r="B182" s="13">
        <v>13768424</v>
      </c>
      <c r="C182" s="8">
        <v>706258633518</v>
      </c>
      <c r="D182" s="6" t="s">
        <v>1118</v>
      </c>
      <c r="E182" s="18">
        <v>1</v>
      </c>
      <c r="F182" s="14">
        <v>149.99</v>
      </c>
      <c r="G182" s="14">
        <v>149.99</v>
      </c>
      <c r="H182" s="7" t="s">
        <v>941</v>
      </c>
      <c r="I182" s="7" t="s">
        <v>1080</v>
      </c>
      <c r="J182" s="7" t="s">
        <v>1117</v>
      </c>
      <c r="K182" s="7" t="str">
        <f>HYPERLINK("http://slimages.macys.com/is/image/MCY/8905437 ")</f>
        <v xml:space="preserve">http://slimages.macys.com/is/image/MCY/8905437 </v>
      </c>
    </row>
    <row r="183" spans="1:11" ht="20.100000000000001" customHeight="1" x14ac:dyDescent="0.25">
      <c r="A183" s="12" t="s">
        <v>1362</v>
      </c>
      <c r="B183" s="13">
        <v>13768424</v>
      </c>
      <c r="C183" s="8">
        <v>706258633556</v>
      </c>
      <c r="D183" s="6" t="s">
        <v>1267</v>
      </c>
      <c r="E183" s="18">
        <v>1</v>
      </c>
      <c r="F183" s="14">
        <v>169.99</v>
      </c>
      <c r="G183" s="14">
        <v>169.99</v>
      </c>
      <c r="H183" s="7" t="s">
        <v>941</v>
      </c>
      <c r="I183" s="7" t="s">
        <v>1080</v>
      </c>
      <c r="J183" s="7" t="s">
        <v>1117</v>
      </c>
      <c r="K183" s="7" t="str">
        <f>HYPERLINK("http://slimages.macys.com/is/image/MCY/8905437 ")</f>
        <v xml:space="preserve">http://slimages.macys.com/is/image/MCY/8905437 </v>
      </c>
    </row>
    <row r="184" spans="1:11" ht="20.100000000000001" customHeight="1" x14ac:dyDescent="0.25">
      <c r="A184" s="12" t="s">
        <v>1362</v>
      </c>
      <c r="B184" s="13">
        <v>13768424</v>
      </c>
      <c r="C184" s="8">
        <v>706611977716</v>
      </c>
      <c r="D184" s="6" t="s">
        <v>744</v>
      </c>
      <c r="E184" s="18">
        <v>1</v>
      </c>
      <c r="F184" s="14">
        <v>46.99</v>
      </c>
      <c r="G184" s="14">
        <v>46.99</v>
      </c>
      <c r="H184" s="7" t="s">
        <v>968</v>
      </c>
      <c r="I184" s="7" t="s">
        <v>1033</v>
      </c>
      <c r="J184" s="7" t="s">
        <v>1111</v>
      </c>
      <c r="K184" s="7" t="str">
        <f>HYPERLINK("http://slimages.macys.com/is/image/MCY/10753901 ")</f>
        <v xml:space="preserve">http://slimages.macys.com/is/image/MCY/10753901 </v>
      </c>
    </row>
    <row r="185" spans="1:11" ht="20.100000000000001" customHeight="1" x14ac:dyDescent="0.25">
      <c r="A185" s="12" t="s">
        <v>1362</v>
      </c>
      <c r="B185" s="13">
        <v>13768424</v>
      </c>
      <c r="C185" s="8">
        <v>718498108596</v>
      </c>
      <c r="D185" s="6" t="s">
        <v>745</v>
      </c>
      <c r="E185" s="18">
        <v>1</v>
      </c>
      <c r="F185" s="14">
        <v>236.99</v>
      </c>
      <c r="G185" s="14">
        <v>236.99</v>
      </c>
      <c r="H185" s="7" t="s">
        <v>950</v>
      </c>
      <c r="I185" s="7" t="s">
        <v>1017</v>
      </c>
      <c r="J185" s="7" t="s">
        <v>1347</v>
      </c>
      <c r="K185" s="7" t="str">
        <f>HYPERLINK("http://slimages.macys.com/is/image/MCY/8063170 ")</f>
        <v xml:space="preserve">http://slimages.macys.com/is/image/MCY/8063170 </v>
      </c>
    </row>
    <row r="186" spans="1:11" ht="20.100000000000001" customHeight="1" x14ac:dyDescent="0.25">
      <c r="A186" s="12" t="s">
        <v>1362</v>
      </c>
      <c r="B186" s="13">
        <v>13768424</v>
      </c>
      <c r="C186" s="8">
        <v>726895453027</v>
      </c>
      <c r="D186" s="6" t="s">
        <v>746</v>
      </c>
      <c r="E186" s="18">
        <v>1</v>
      </c>
      <c r="F186" s="14">
        <v>39.99</v>
      </c>
      <c r="G186" s="14">
        <v>39.99</v>
      </c>
      <c r="H186" s="7" t="s">
        <v>963</v>
      </c>
      <c r="I186" s="7" t="s">
        <v>1046</v>
      </c>
      <c r="J186" s="7" t="s">
        <v>1215</v>
      </c>
      <c r="K186" s="7" t="str">
        <f>HYPERLINK("http://slimages.macys.com/is/image/MCY/9356851 ")</f>
        <v xml:space="preserve">http://slimages.macys.com/is/image/MCY/9356851 </v>
      </c>
    </row>
    <row r="187" spans="1:11" ht="20.100000000000001" customHeight="1" x14ac:dyDescent="0.25">
      <c r="A187" s="12" t="s">
        <v>1362</v>
      </c>
      <c r="B187" s="13">
        <v>13768424</v>
      </c>
      <c r="C187" s="8">
        <v>726895578102</v>
      </c>
      <c r="D187" s="6" t="s">
        <v>747</v>
      </c>
      <c r="E187" s="18">
        <v>1</v>
      </c>
      <c r="F187" s="14">
        <v>39.99</v>
      </c>
      <c r="G187" s="14">
        <v>39.99</v>
      </c>
      <c r="H187" s="7" t="s">
        <v>1054</v>
      </c>
      <c r="I187" s="7" t="s">
        <v>1046</v>
      </c>
      <c r="J187" s="7" t="s">
        <v>1047</v>
      </c>
      <c r="K187" s="7" t="str">
        <f>HYPERLINK("http://slimages.macys.com/is/image/MCY/9513121 ")</f>
        <v xml:space="preserve">http://slimages.macys.com/is/image/MCY/9513121 </v>
      </c>
    </row>
    <row r="188" spans="1:11" ht="20.100000000000001" customHeight="1" x14ac:dyDescent="0.25">
      <c r="A188" s="12" t="s">
        <v>1362</v>
      </c>
      <c r="B188" s="13">
        <v>13768424</v>
      </c>
      <c r="C188" s="8">
        <v>730733108611</v>
      </c>
      <c r="D188" s="6" t="s">
        <v>748</v>
      </c>
      <c r="E188" s="18">
        <v>1</v>
      </c>
      <c r="F188" s="14">
        <v>160.99</v>
      </c>
      <c r="G188" s="14">
        <v>160.99</v>
      </c>
      <c r="H188" s="7" t="s">
        <v>950</v>
      </c>
      <c r="I188" s="7" t="s">
        <v>966</v>
      </c>
      <c r="J188" s="7" t="s">
        <v>1426</v>
      </c>
      <c r="K188" s="7" t="str">
        <f>HYPERLINK("http://slimages.macys.com/is/image/MCY/11562163 ")</f>
        <v xml:space="preserve">http://slimages.macys.com/is/image/MCY/11562163 </v>
      </c>
    </row>
    <row r="189" spans="1:11" ht="20.100000000000001" customHeight="1" x14ac:dyDescent="0.25">
      <c r="A189" s="12" t="s">
        <v>1362</v>
      </c>
      <c r="B189" s="13">
        <v>13768424</v>
      </c>
      <c r="C189" s="8">
        <v>732994556736</v>
      </c>
      <c r="D189" s="6" t="s">
        <v>749</v>
      </c>
      <c r="E189" s="18">
        <v>1</v>
      </c>
      <c r="F189" s="14">
        <v>47.99</v>
      </c>
      <c r="G189" s="14">
        <v>47.99</v>
      </c>
      <c r="H189" s="7" t="s">
        <v>941</v>
      </c>
      <c r="I189" s="7" t="s">
        <v>956</v>
      </c>
      <c r="J189" s="7" t="s">
        <v>1014</v>
      </c>
      <c r="K189" s="7" t="str">
        <f>HYPERLINK("http://images.bloomingdales.com/is/image/BLM/9088359 ")</f>
        <v xml:space="preserve">http://images.bloomingdales.com/is/image/BLM/9088359 </v>
      </c>
    </row>
    <row r="190" spans="1:11" ht="20.100000000000001" customHeight="1" x14ac:dyDescent="0.25">
      <c r="A190" s="12" t="s">
        <v>1362</v>
      </c>
      <c r="B190" s="13">
        <v>13768424</v>
      </c>
      <c r="C190" s="8">
        <v>732994723725</v>
      </c>
      <c r="D190" s="6" t="s">
        <v>750</v>
      </c>
      <c r="E190" s="18">
        <v>1</v>
      </c>
      <c r="F190" s="14">
        <v>49.99</v>
      </c>
      <c r="G190" s="14">
        <v>49.99</v>
      </c>
      <c r="H190" s="7" t="s">
        <v>944</v>
      </c>
      <c r="I190" s="7" t="s">
        <v>1080</v>
      </c>
      <c r="J190" s="7" t="s">
        <v>1117</v>
      </c>
      <c r="K190" s="7" t="str">
        <f>HYPERLINK("http://slimages.macys.com/is/image/MCY/10264818 ")</f>
        <v xml:space="preserve">http://slimages.macys.com/is/image/MCY/10264818 </v>
      </c>
    </row>
    <row r="191" spans="1:11" ht="20.100000000000001" customHeight="1" x14ac:dyDescent="0.25">
      <c r="A191" s="12" t="s">
        <v>1362</v>
      </c>
      <c r="B191" s="13">
        <v>13768424</v>
      </c>
      <c r="C191" s="8">
        <v>732995157888</v>
      </c>
      <c r="D191" s="6" t="s">
        <v>751</v>
      </c>
      <c r="E191" s="18">
        <v>1</v>
      </c>
      <c r="F191" s="14">
        <v>109.99</v>
      </c>
      <c r="G191" s="14">
        <v>109.99</v>
      </c>
      <c r="H191" s="7" t="s">
        <v>1030</v>
      </c>
      <c r="I191" s="7" t="s">
        <v>969</v>
      </c>
      <c r="J191" s="7" t="s">
        <v>970</v>
      </c>
      <c r="K191" s="7" t="str">
        <f>HYPERLINK("http://slimages.macys.com/is/image/MCY/11534834 ")</f>
        <v xml:space="preserve">http://slimages.macys.com/is/image/MCY/11534834 </v>
      </c>
    </row>
    <row r="192" spans="1:11" ht="20.100000000000001" customHeight="1" x14ac:dyDescent="0.25">
      <c r="A192" s="12" t="s">
        <v>1362</v>
      </c>
      <c r="B192" s="13">
        <v>13768424</v>
      </c>
      <c r="C192" s="8">
        <v>732995562958</v>
      </c>
      <c r="D192" s="6" t="s">
        <v>752</v>
      </c>
      <c r="E192" s="18">
        <v>1</v>
      </c>
      <c r="F192" s="14">
        <v>69.989999999999995</v>
      </c>
      <c r="G192" s="14">
        <v>69.989999999999995</v>
      </c>
      <c r="H192" s="7" t="s">
        <v>944</v>
      </c>
      <c r="I192" s="7" t="s">
        <v>1080</v>
      </c>
      <c r="J192" s="7" t="s">
        <v>1120</v>
      </c>
      <c r="K192" s="7" t="str">
        <f>HYPERLINK("http://slimages.macys.com/is/image/MCY/10656684 ")</f>
        <v xml:space="preserve">http://slimages.macys.com/is/image/MCY/10656684 </v>
      </c>
    </row>
    <row r="193" spans="1:11" ht="20.100000000000001" customHeight="1" x14ac:dyDescent="0.25">
      <c r="A193" s="12" t="s">
        <v>1362</v>
      </c>
      <c r="B193" s="13">
        <v>13768424</v>
      </c>
      <c r="C193" s="8">
        <v>732995895421</v>
      </c>
      <c r="D193" s="6" t="s">
        <v>753</v>
      </c>
      <c r="E193" s="18">
        <v>2</v>
      </c>
      <c r="F193" s="14">
        <v>79.989999999999995</v>
      </c>
      <c r="G193" s="14">
        <v>159.97999999999999</v>
      </c>
      <c r="H193" s="7" t="s">
        <v>1036</v>
      </c>
      <c r="I193" s="7" t="s">
        <v>956</v>
      </c>
      <c r="J193" s="7" t="s">
        <v>1107</v>
      </c>
      <c r="K193" s="7" t="str">
        <f>HYPERLINK("http://slimages.macys.com/is/image/MCY/12354646 ")</f>
        <v xml:space="preserve">http://slimages.macys.com/is/image/MCY/12354646 </v>
      </c>
    </row>
    <row r="194" spans="1:11" ht="20.100000000000001" customHeight="1" x14ac:dyDescent="0.25">
      <c r="A194" s="12" t="s">
        <v>1362</v>
      </c>
      <c r="B194" s="13">
        <v>13768424</v>
      </c>
      <c r="C194" s="8">
        <v>732996037103</v>
      </c>
      <c r="D194" s="6" t="s">
        <v>1271</v>
      </c>
      <c r="E194" s="18">
        <v>1</v>
      </c>
      <c r="F194" s="14">
        <v>19.989999999999998</v>
      </c>
      <c r="G194" s="14">
        <v>19.989999999999998</v>
      </c>
      <c r="H194" s="7" t="s">
        <v>944</v>
      </c>
      <c r="I194" s="7" t="s">
        <v>1128</v>
      </c>
      <c r="J194" s="7" t="s">
        <v>1272</v>
      </c>
      <c r="K194" s="7" t="str">
        <f>HYPERLINK("http://slimages.macys.com/is/image/MCY/12042770 ")</f>
        <v xml:space="preserve">http://slimages.macys.com/is/image/MCY/12042770 </v>
      </c>
    </row>
    <row r="195" spans="1:11" ht="20.100000000000001" customHeight="1" x14ac:dyDescent="0.25">
      <c r="A195" s="12" t="s">
        <v>1362</v>
      </c>
      <c r="B195" s="13">
        <v>13768424</v>
      </c>
      <c r="C195" s="8">
        <v>732996151915</v>
      </c>
      <c r="D195" s="6" t="s">
        <v>1144</v>
      </c>
      <c r="E195" s="18">
        <v>1</v>
      </c>
      <c r="F195" s="14">
        <v>39.99</v>
      </c>
      <c r="G195" s="14">
        <v>39.99</v>
      </c>
      <c r="H195" s="7" t="s">
        <v>950</v>
      </c>
      <c r="I195" s="7" t="s">
        <v>1080</v>
      </c>
      <c r="J195" s="7" t="s">
        <v>1117</v>
      </c>
      <c r="K195" s="7" t="str">
        <f>HYPERLINK("http://slimages.macys.com/is/image/MCY/12873905 ")</f>
        <v xml:space="preserve">http://slimages.macys.com/is/image/MCY/12873905 </v>
      </c>
    </row>
    <row r="196" spans="1:11" ht="20.100000000000001" customHeight="1" x14ac:dyDescent="0.25">
      <c r="A196" s="12" t="s">
        <v>1362</v>
      </c>
      <c r="B196" s="13">
        <v>13768424</v>
      </c>
      <c r="C196" s="8">
        <v>732996249995</v>
      </c>
      <c r="D196" s="6" t="s">
        <v>1191</v>
      </c>
      <c r="E196" s="18">
        <v>1</v>
      </c>
      <c r="F196" s="14">
        <v>79.989999999999995</v>
      </c>
      <c r="G196" s="14">
        <v>79.989999999999995</v>
      </c>
      <c r="H196" s="7" t="s">
        <v>941</v>
      </c>
      <c r="I196" s="7" t="s">
        <v>1058</v>
      </c>
      <c r="J196" s="7" t="s">
        <v>1084</v>
      </c>
      <c r="K196" s="7" t="str">
        <f>HYPERLINK("http://slimages.macys.com/is/image/MCY/12779303 ")</f>
        <v xml:space="preserve">http://slimages.macys.com/is/image/MCY/12779303 </v>
      </c>
    </row>
    <row r="197" spans="1:11" ht="20.100000000000001" customHeight="1" x14ac:dyDescent="0.25">
      <c r="A197" s="12" t="s">
        <v>1362</v>
      </c>
      <c r="B197" s="13">
        <v>13768424</v>
      </c>
      <c r="C197" s="8">
        <v>732996250014</v>
      </c>
      <c r="D197" s="6" t="s">
        <v>754</v>
      </c>
      <c r="E197" s="18">
        <v>2</v>
      </c>
      <c r="F197" s="14">
        <v>59.99</v>
      </c>
      <c r="G197" s="14">
        <v>119.98</v>
      </c>
      <c r="H197" s="7" t="s">
        <v>941</v>
      </c>
      <c r="I197" s="7" t="s">
        <v>1058</v>
      </c>
      <c r="J197" s="7" t="s">
        <v>1084</v>
      </c>
      <c r="K197" s="7" t="str">
        <f>HYPERLINK("http://slimages.macys.com/is/image/MCY/16080107 ")</f>
        <v xml:space="preserve">http://slimages.macys.com/is/image/MCY/16080107 </v>
      </c>
    </row>
    <row r="198" spans="1:11" ht="20.100000000000001" customHeight="1" x14ac:dyDescent="0.25">
      <c r="A198" s="12" t="s">
        <v>1362</v>
      </c>
      <c r="B198" s="13">
        <v>13768424</v>
      </c>
      <c r="C198" s="8">
        <v>732996252742</v>
      </c>
      <c r="D198" s="6" t="s">
        <v>755</v>
      </c>
      <c r="E198" s="18">
        <v>1</v>
      </c>
      <c r="F198" s="14">
        <v>69.989999999999995</v>
      </c>
      <c r="G198" s="14">
        <v>69.989999999999995</v>
      </c>
      <c r="H198" s="7" t="s">
        <v>941</v>
      </c>
      <c r="I198" s="7" t="s">
        <v>1058</v>
      </c>
      <c r="J198" s="7" t="s">
        <v>1088</v>
      </c>
      <c r="K198" s="7" t="str">
        <f>HYPERLINK("http://slimages.macys.com/is/image/MCY/12299677 ")</f>
        <v xml:space="preserve">http://slimages.macys.com/is/image/MCY/12299677 </v>
      </c>
    </row>
    <row r="199" spans="1:11" ht="20.100000000000001" customHeight="1" x14ac:dyDescent="0.25">
      <c r="A199" s="12" t="s">
        <v>1362</v>
      </c>
      <c r="B199" s="13">
        <v>13768424</v>
      </c>
      <c r="C199" s="8">
        <v>732996465197</v>
      </c>
      <c r="D199" s="6" t="s">
        <v>1027</v>
      </c>
      <c r="E199" s="18">
        <v>1</v>
      </c>
      <c r="F199" s="14">
        <v>299.99</v>
      </c>
      <c r="G199" s="14">
        <v>299.99</v>
      </c>
      <c r="H199" s="7" t="s">
        <v>941</v>
      </c>
      <c r="I199" s="7" t="s">
        <v>956</v>
      </c>
      <c r="J199" s="7" t="s">
        <v>1028</v>
      </c>
      <c r="K199" s="7" t="str">
        <f>HYPERLINK("http://slimages.macys.com/is/image/MCY/11953123 ")</f>
        <v xml:space="preserve">http://slimages.macys.com/is/image/MCY/11953123 </v>
      </c>
    </row>
    <row r="200" spans="1:11" ht="20.100000000000001" customHeight="1" x14ac:dyDescent="0.25">
      <c r="A200" s="12" t="s">
        <v>1362</v>
      </c>
      <c r="B200" s="13">
        <v>13768424</v>
      </c>
      <c r="C200" s="8">
        <v>732996465203</v>
      </c>
      <c r="D200" s="6" t="s">
        <v>1066</v>
      </c>
      <c r="E200" s="18">
        <v>1</v>
      </c>
      <c r="F200" s="14">
        <v>259.99</v>
      </c>
      <c r="G200" s="14">
        <v>259.99</v>
      </c>
      <c r="H200" s="7" t="s">
        <v>941</v>
      </c>
      <c r="I200" s="7" t="s">
        <v>956</v>
      </c>
      <c r="J200" s="7" t="s">
        <v>1028</v>
      </c>
      <c r="K200" s="7" t="str">
        <f>HYPERLINK("http://slimages.macys.com/is/image/MCY/11953123 ")</f>
        <v xml:space="preserve">http://slimages.macys.com/is/image/MCY/11953123 </v>
      </c>
    </row>
    <row r="201" spans="1:11" ht="20.100000000000001" customHeight="1" x14ac:dyDescent="0.25">
      <c r="A201" s="12" t="s">
        <v>1362</v>
      </c>
      <c r="B201" s="13">
        <v>13768424</v>
      </c>
      <c r="C201" s="8">
        <v>732996468235</v>
      </c>
      <c r="D201" s="6" t="s">
        <v>756</v>
      </c>
      <c r="E201" s="18">
        <v>1</v>
      </c>
      <c r="F201" s="14">
        <v>79.989999999999995</v>
      </c>
      <c r="G201" s="14">
        <v>79.989999999999995</v>
      </c>
      <c r="H201" s="7" t="s">
        <v>941</v>
      </c>
      <c r="I201" s="7" t="s">
        <v>956</v>
      </c>
      <c r="J201" s="7" t="s">
        <v>1014</v>
      </c>
      <c r="K201" s="7" t="str">
        <f>HYPERLINK("http://slimages.macys.com/is/image/MCY/13042586 ")</f>
        <v xml:space="preserve">http://slimages.macys.com/is/image/MCY/13042586 </v>
      </c>
    </row>
    <row r="202" spans="1:11" ht="20.100000000000001" customHeight="1" x14ac:dyDescent="0.25">
      <c r="A202" s="12" t="s">
        <v>1362</v>
      </c>
      <c r="B202" s="13">
        <v>13768424</v>
      </c>
      <c r="C202" s="8">
        <v>732996801629</v>
      </c>
      <c r="D202" s="6" t="s">
        <v>757</v>
      </c>
      <c r="E202" s="18">
        <v>3</v>
      </c>
      <c r="F202" s="14">
        <v>79.989999999999995</v>
      </c>
      <c r="G202" s="14">
        <v>239.97</v>
      </c>
      <c r="H202" s="7" t="s">
        <v>941</v>
      </c>
      <c r="I202" s="7" t="s">
        <v>956</v>
      </c>
      <c r="J202" s="7" t="s">
        <v>1100</v>
      </c>
      <c r="K202" s="7" t="str">
        <f>HYPERLINK("http://slimages.macys.com/is/image/MCY/15219040 ")</f>
        <v xml:space="preserve">http://slimages.macys.com/is/image/MCY/15219040 </v>
      </c>
    </row>
    <row r="203" spans="1:11" ht="20.100000000000001" customHeight="1" x14ac:dyDescent="0.25">
      <c r="A203" s="12" t="s">
        <v>1362</v>
      </c>
      <c r="B203" s="13">
        <v>13768424</v>
      </c>
      <c r="C203" s="8">
        <v>732997005224</v>
      </c>
      <c r="D203" s="6" t="s">
        <v>758</v>
      </c>
      <c r="E203" s="18">
        <v>1</v>
      </c>
      <c r="F203" s="14">
        <v>24.99</v>
      </c>
      <c r="G203" s="14">
        <v>24.99</v>
      </c>
      <c r="H203" s="7" t="s">
        <v>1095</v>
      </c>
      <c r="I203" s="7" t="s">
        <v>1046</v>
      </c>
      <c r="J203" s="7" t="s">
        <v>1215</v>
      </c>
      <c r="K203" s="7" t="str">
        <f>HYPERLINK("http://slimages.macys.com/is/image/MCY/14718151 ")</f>
        <v xml:space="preserve">http://slimages.macys.com/is/image/MCY/14718151 </v>
      </c>
    </row>
    <row r="204" spans="1:11" ht="20.100000000000001" customHeight="1" x14ac:dyDescent="0.25">
      <c r="A204" s="12" t="s">
        <v>1362</v>
      </c>
      <c r="B204" s="13">
        <v>13768424</v>
      </c>
      <c r="C204" s="8">
        <v>732997393970</v>
      </c>
      <c r="D204" s="6" t="s">
        <v>1275</v>
      </c>
      <c r="E204" s="18">
        <v>1</v>
      </c>
      <c r="F204" s="14">
        <v>84.99</v>
      </c>
      <c r="G204" s="14">
        <v>84.99</v>
      </c>
      <c r="H204" s="7" t="s">
        <v>941</v>
      </c>
      <c r="I204" s="7" t="s">
        <v>1058</v>
      </c>
      <c r="J204" s="7" t="s">
        <v>1134</v>
      </c>
      <c r="K204" s="7" t="str">
        <f>HYPERLINK("http://slimages.macys.com/is/image/MCY/13368359 ")</f>
        <v xml:space="preserve">http://slimages.macys.com/is/image/MCY/13368359 </v>
      </c>
    </row>
    <row r="205" spans="1:11" ht="20.100000000000001" customHeight="1" x14ac:dyDescent="0.25">
      <c r="A205" s="12" t="s">
        <v>1362</v>
      </c>
      <c r="B205" s="13">
        <v>13768424</v>
      </c>
      <c r="C205" s="8">
        <v>732997629338</v>
      </c>
      <c r="D205" s="6" t="s">
        <v>759</v>
      </c>
      <c r="E205" s="18">
        <v>1</v>
      </c>
      <c r="F205" s="14">
        <v>59.99</v>
      </c>
      <c r="G205" s="14">
        <v>59.99</v>
      </c>
      <c r="H205" s="7" t="s">
        <v>950</v>
      </c>
      <c r="I205" s="7" t="s">
        <v>1080</v>
      </c>
      <c r="J205" s="7" t="s">
        <v>1081</v>
      </c>
      <c r="K205" s="7" t="str">
        <f>HYPERLINK("http://slimages.macys.com/is/image/MCY/14823286 ")</f>
        <v xml:space="preserve">http://slimages.macys.com/is/image/MCY/14823286 </v>
      </c>
    </row>
    <row r="206" spans="1:11" ht="20.100000000000001" customHeight="1" x14ac:dyDescent="0.25">
      <c r="A206" s="12" t="s">
        <v>1362</v>
      </c>
      <c r="B206" s="13">
        <v>13768424</v>
      </c>
      <c r="C206" s="8">
        <v>732997906453</v>
      </c>
      <c r="D206" s="6" t="s">
        <v>760</v>
      </c>
      <c r="E206" s="18">
        <v>1</v>
      </c>
      <c r="F206" s="14">
        <v>229.99</v>
      </c>
      <c r="G206" s="14">
        <v>229.99</v>
      </c>
      <c r="H206" s="7" t="s">
        <v>1095</v>
      </c>
      <c r="I206" s="7" t="s">
        <v>956</v>
      </c>
      <c r="J206" s="7" t="s">
        <v>1014</v>
      </c>
      <c r="K206" s="7" t="str">
        <f>HYPERLINK("http://slimages.macys.com/is/image/MCY/15767048 ")</f>
        <v xml:space="preserve">http://slimages.macys.com/is/image/MCY/15767048 </v>
      </c>
    </row>
    <row r="207" spans="1:11" ht="20.100000000000001" customHeight="1" x14ac:dyDescent="0.25">
      <c r="A207" s="12" t="s">
        <v>1362</v>
      </c>
      <c r="B207" s="13">
        <v>13768424</v>
      </c>
      <c r="C207" s="8">
        <v>732998000259</v>
      </c>
      <c r="D207" s="6" t="s">
        <v>1207</v>
      </c>
      <c r="E207" s="18">
        <v>1</v>
      </c>
      <c r="F207" s="14">
        <v>34.99</v>
      </c>
      <c r="G207" s="14">
        <v>34.99</v>
      </c>
      <c r="H207" s="7" t="s">
        <v>941</v>
      </c>
      <c r="I207" s="7" t="s">
        <v>1058</v>
      </c>
      <c r="J207" s="7" t="s">
        <v>1084</v>
      </c>
      <c r="K207" s="7" t="str">
        <f>HYPERLINK("http://slimages.macys.com/is/image/MCY/16904236 ")</f>
        <v xml:space="preserve">http://slimages.macys.com/is/image/MCY/16904236 </v>
      </c>
    </row>
    <row r="208" spans="1:11" ht="20.100000000000001" customHeight="1" x14ac:dyDescent="0.25">
      <c r="A208" s="12" t="s">
        <v>1362</v>
      </c>
      <c r="B208" s="13">
        <v>13768424</v>
      </c>
      <c r="C208" s="8">
        <v>732998123224</v>
      </c>
      <c r="D208" s="6" t="s">
        <v>761</v>
      </c>
      <c r="E208" s="18">
        <v>1</v>
      </c>
      <c r="F208" s="14">
        <v>199.99</v>
      </c>
      <c r="G208" s="14">
        <v>199.99</v>
      </c>
      <c r="H208" s="7" t="s">
        <v>968</v>
      </c>
      <c r="I208" s="7" t="s">
        <v>956</v>
      </c>
      <c r="J208" s="7" t="s">
        <v>1109</v>
      </c>
      <c r="K208" s="7" t="str">
        <f>HYPERLINK("http://slimages.macys.com/is/image/MCY/15924247 ")</f>
        <v xml:space="preserve">http://slimages.macys.com/is/image/MCY/15924247 </v>
      </c>
    </row>
    <row r="209" spans="1:11" ht="20.100000000000001" customHeight="1" x14ac:dyDescent="0.25">
      <c r="A209" s="12" t="s">
        <v>1362</v>
      </c>
      <c r="B209" s="13">
        <v>13768424</v>
      </c>
      <c r="C209" s="8">
        <v>732998215998</v>
      </c>
      <c r="D209" s="6" t="s">
        <v>762</v>
      </c>
      <c r="E209" s="18">
        <v>1</v>
      </c>
      <c r="F209" s="14">
        <v>119.99</v>
      </c>
      <c r="G209" s="14">
        <v>119.99</v>
      </c>
      <c r="H209" s="7" t="s">
        <v>981</v>
      </c>
      <c r="I209" s="7" t="s">
        <v>969</v>
      </c>
      <c r="J209" s="7" t="s">
        <v>970</v>
      </c>
      <c r="K209" s="7" t="str">
        <f>HYPERLINK("http://slimages.macys.com/is/image/MCY/8433239 ")</f>
        <v xml:space="preserve">http://slimages.macys.com/is/image/MCY/8433239 </v>
      </c>
    </row>
    <row r="210" spans="1:11" ht="20.100000000000001" customHeight="1" x14ac:dyDescent="0.25">
      <c r="A210" s="12" t="s">
        <v>1362</v>
      </c>
      <c r="B210" s="13">
        <v>13768424</v>
      </c>
      <c r="C210" s="8">
        <v>732998284253</v>
      </c>
      <c r="D210" s="6" t="s">
        <v>763</v>
      </c>
      <c r="E210" s="18">
        <v>1</v>
      </c>
      <c r="F210" s="14">
        <v>99.99</v>
      </c>
      <c r="G210" s="14">
        <v>99.99</v>
      </c>
      <c r="H210" s="7" t="s">
        <v>1062</v>
      </c>
      <c r="I210" s="7" t="s">
        <v>969</v>
      </c>
      <c r="J210" s="7" t="s">
        <v>970</v>
      </c>
      <c r="K210" s="7" t="str">
        <f>HYPERLINK("http://slimages.macys.com/is/image/MCY/8433239 ")</f>
        <v xml:space="preserve">http://slimages.macys.com/is/image/MCY/8433239 </v>
      </c>
    </row>
    <row r="211" spans="1:11" ht="20.100000000000001" customHeight="1" x14ac:dyDescent="0.25">
      <c r="A211" s="12" t="s">
        <v>1362</v>
      </c>
      <c r="B211" s="13">
        <v>13768424</v>
      </c>
      <c r="C211" s="8">
        <v>732998330271</v>
      </c>
      <c r="D211" s="6" t="s">
        <v>1318</v>
      </c>
      <c r="E211" s="18">
        <v>1</v>
      </c>
      <c r="F211" s="14">
        <v>199.99</v>
      </c>
      <c r="G211" s="14">
        <v>199.99</v>
      </c>
      <c r="H211" s="7" t="s">
        <v>941</v>
      </c>
      <c r="I211" s="7" t="s">
        <v>956</v>
      </c>
      <c r="J211" s="7" t="s">
        <v>1014</v>
      </c>
      <c r="K211" s="7" t="str">
        <f>HYPERLINK("http://slimages.macys.com/is/image/MCY/16381596 ")</f>
        <v xml:space="preserve">http://slimages.macys.com/is/image/MCY/16381596 </v>
      </c>
    </row>
    <row r="212" spans="1:11" ht="20.100000000000001" customHeight="1" x14ac:dyDescent="0.25">
      <c r="A212" s="12" t="s">
        <v>1362</v>
      </c>
      <c r="B212" s="13">
        <v>13768424</v>
      </c>
      <c r="C212" s="8">
        <v>732998330301</v>
      </c>
      <c r="D212" s="6" t="s">
        <v>764</v>
      </c>
      <c r="E212" s="18">
        <v>2</v>
      </c>
      <c r="F212" s="14">
        <v>69.989999999999995</v>
      </c>
      <c r="G212" s="14">
        <v>139.97999999999999</v>
      </c>
      <c r="H212" s="7" t="s">
        <v>941</v>
      </c>
      <c r="I212" s="7" t="s">
        <v>956</v>
      </c>
      <c r="J212" s="7" t="s">
        <v>1014</v>
      </c>
      <c r="K212" s="7" t="str">
        <f>HYPERLINK("http://slimages.macys.com/is/image/MCY/16381649 ")</f>
        <v xml:space="preserve">http://slimages.macys.com/is/image/MCY/16381649 </v>
      </c>
    </row>
    <row r="213" spans="1:11" ht="20.100000000000001" customHeight="1" x14ac:dyDescent="0.25">
      <c r="A213" s="12" t="s">
        <v>1362</v>
      </c>
      <c r="B213" s="13">
        <v>13768424</v>
      </c>
      <c r="C213" s="8">
        <v>732998362401</v>
      </c>
      <c r="D213" s="6" t="s">
        <v>765</v>
      </c>
      <c r="E213" s="18">
        <v>2</v>
      </c>
      <c r="F213" s="14">
        <v>69.989999999999995</v>
      </c>
      <c r="G213" s="14">
        <v>139.97999999999999</v>
      </c>
      <c r="H213" s="7" t="s">
        <v>976</v>
      </c>
      <c r="I213" s="7" t="s">
        <v>956</v>
      </c>
      <c r="J213" s="7" t="s">
        <v>1109</v>
      </c>
      <c r="K213" s="7" t="str">
        <f>HYPERLINK("http://slimages.macys.com/is/image/MCY/16354734 ")</f>
        <v xml:space="preserve">http://slimages.macys.com/is/image/MCY/16354734 </v>
      </c>
    </row>
    <row r="214" spans="1:11" ht="20.100000000000001" customHeight="1" x14ac:dyDescent="0.25">
      <c r="A214" s="12" t="s">
        <v>1362</v>
      </c>
      <c r="B214" s="13">
        <v>13768424</v>
      </c>
      <c r="C214" s="8">
        <v>732998790808</v>
      </c>
      <c r="D214" s="6" t="s">
        <v>766</v>
      </c>
      <c r="E214" s="18">
        <v>1</v>
      </c>
      <c r="F214" s="14">
        <v>39.99</v>
      </c>
      <c r="G214" s="14">
        <v>39.99</v>
      </c>
      <c r="H214" s="7" t="s">
        <v>1062</v>
      </c>
      <c r="I214" s="7" t="s">
        <v>969</v>
      </c>
      <c r="J214" s="7" t="s">
        <v>970</v>
      </c>
      <c r="K214" s="7" t="str">
        <f>HYPERLINK("http://slimages.macys.com/is/image/MCY/8433239 ")</f>
        <v xml:space="preserve">http://slimages.macys.com/is/image/MCY/8433239 </v>
      </c>
    </row>
    <row r="215" spans="1:11" ht="20.100000000000001" customHeight="1" x14ac:dyDescent="0.25">
      <c r="A215" s="12" t="s">
        <v>1362</v>
      </c>
      <c r="B215" s="13">
        <v>13768424</v>
      </c>
      <c r="C215" s="8">
        <v>732998796824</v>
      </c>
      <c r="D215" s="6" t="s">
        <v>767</v>
      </c>
      <c r="E215" s="18">
        <v>1</v>
      </c>
      <c r="F215" s="14">
        <v>39.99</v>
      </c>
      <c r="G215" s="14">
        <v>39.99</v>
      </c>
      <c r="H215" s="7" t="s">
        <v>1013</v>
      </c>
      <c r="I215" s="7" t="s">
        <v>969</v>
      </c>
      <c r="J215" s="7" t="s">
        <v>970</v>
      </c>
      <c r="K215" s="7" t="str">
        <f>HYPERLINK("http://slimages.macys.com/is/image/MCY/8456177 ")</f>
        <v xml:space="preserve">http://slimages.macys.com/is/image/MCY/8456177 </v>
      </c>
    </row>
    <row r="216" spans="1:11" ht="20.100000000000001" customHeight="1" x14ac:dyDescent="0.25">
      <c r="A216" s="12" t="s">
        <v>1362</v>
      </c>
      <c r="B216" s="13">
        <v>13768424</v>
      </c>
      <c r="C216" s="8">
        <v>732998797166</v>
      </c>
      <c r="D216" s="6" t="s">
        <v>768</v>
      </c>
      <c r="E216" s="18">
        <v>1</v>
      </c>
      <c r="F216" s="14">
        <v>49.99</v>
      </c>
      <c r="G216" s="14">
        <v>49.99</v>
      </c>
      <c r="H216" s="7" t="s">
        <v>941</v>
      </c>
      <c r="I216" s="7" t="s">
        <v>969</v>
      </c>
      <c r="J216" s="7" t="s">
        <v>970</v>
      </c>
      <c r="K216" s="7" t="str">
        <f>HYPERLINK("http://slimages.macys.com/is/image/MCY/8435667 ")</f>
        <v xml:space="preserve">http://slimages.macys.com/is/image/MCY/8435667 </v>
      </c>
    </row>
    <row r="217" spans="1:11" ht="20.100000000000001" customHeight="1" x14ac:dyDescent="0.25">
      <c r="A217" s="12" t="s">
        <v>1362</v>
      </c>
      <c r="B217" s="13">
        <v>13768424</v>
      </c>
      <c r="C217" s="8">
        <v>732999063789</v>
      </c>
      <c r="D217" s="6" t="s">
        <v>769</v>
      </c>
      <c r="E217" s="18">
        <v>1</v>
      </c>
      <c r="F217" s="14">
        <v>39.99</v>
      </c>
      <c r="G217" s="14">
        <v>39.99</v>
      </c>
      <c r="H217" s="7" t="s">
        <v>1072</v>
      </c>
      <c r="I217" s="7" t="s">
        <v>1022</v>
      </c>
      <c r="J217" s="7" t="s">
        <v>1073</v>
      </c>
      <c r="K217" s="7" t="str">
        <f>HYPERLINK("http://slimages.macys.com/is/image/MCY/13949182 ")</f>
        <v xml:space="preserve">http://slimages.macys.com/is/image/MCY/13949182 </v>
      </c>
    </row>
    <row r="218" spans="1:11" ht="20.100000000000001" customHeight="1" x14ac:dyDescent="0.25">
      <c r="A218" s="12" t="s">
        <v>1362</v>
      </c>
      <c r="B218" s="13">
        <v>13768424</v>
      </c>
      <c r="C218" s="8">
        <v>732999063789</v>
      </c>
      <c r="D218" s="6" t="s">
        <v>769</v>
      </c>
      <c r="E218" s="18">
        <v>1</v>
      </c>
      <c r="F218" s="14">
        <v>39.99</v>
      </c>
      <c r="G218" s="14">
        <v>39.99</v>
      </c>
      <c r="H218" s="7" t="s">
        <v>1072</v>
      </c>
      <c r="I218" s="7" t="s">
        <v>1022</v>
      </c>
      <c r="J218" s="7" t="s">
        <v>1073</v>
      </c>
      <c r="K218" s="7" t="str">
        <f>HYPERLINK("http://slimages.macys.com/is/image/MCY/13949182 ")</f>
        <v xml:space="preserve">http://slimages.macys.com/is/image/MCY/13949182 </v>
      </c>
    </row>
    <row r="219" spans="1:11" ht="20.100000000000001" customHeight="1" x14ac:dyDescent="0.25">
      <c r="A219" s="12" t="s">
        <v>1362</v>
      </c>
      <c r="B219" s="13">
        <v>13768424</v>
      </c>
      <c r="C219" s="8">
        <v>732999133185</v>
      </c>
      <c r="D219" s="6" t="s">
        <v>770</v>
      </c>
      <c r="E219" s="18">
        <v>1</v>
      </c>
      <c r="F219" s="14">
        <v>24.99</v>
      </c>
      <c r="G219" s="14">
        <v>24.99</v>
      </c>
      <c r="H219" s="7" t="s">
        <v>1072</v>
      </c>
      <c r="I219" s="7" t="s">
        <v>1046</v>
      </c>
      <c r="J219" s="7" t="s">
        <v>1215</v>
      </c>
      <c r="K219" s="7" t="str">
        <f>HYPERLINK("http://slimages.macys.com/is/image/MCY/9356851 ")</f>
        <v xml:space="preserve">http://slimages.macys.com/is/image/MCY/9356851 </v>
      </c>
    </row>
    <row r="220" spans="1:11" ht="20.100000000000001" customHeight="1" x14ac:dyDescent="0.25">
      <c r="A220" s="12" t="s">
        <v>1362</v>
      </c>
      <c r="B220" s="13">
        <v>13768424</v>
      </c>
      <c r="C220" s="8">
        <v>732999521579</v>
      </c>
      <c r="D220" s="6" t="s">
        <v>771</v>
      </c>
      <c r="E220" s="18">
        <v>1</v>
      </c>
      <c r="F220" s="14">
        <v>69.989999999999995</v>
      </c>
      <c r="G220" s="14">
        <v>69.989999999999995</v>
      </c>
      <c r="H220" s="7" t="s">
        <v>941</v>
      </c>
      <c r="I220" s="7" t="s">
        <v>956</v>
      </c>
      <c r="J220" s="7" t="s">
        <v>1100</v>
      </c>
      <c r="K220" s="7" t="str">
        <f>HYPERLINK("http://slimages.macys.com/is/image/MCY/17481074 ")</f>
        <v xml:space="preserve">http://slimages.macys.com/is/image/MCY/17481074 </v>
      </c>
    </row>
    <row r="221" spans="1:11" ht="20.100000000000001" customHeight="1" x14ac:dyDescent="0.25">
      <c r="A221" s="12" t="s">
        <v>1362</v>
      </c>
      <c r="B221" s="13">
        <v>13768424</v>
      </c>
      <c r="C221" s="8">
        <v>732999521609</v>
      </c>
      <c r="D221" s="6" t="s">
        <v>772</v>
      </c>
      <c r="E221" s="18">
        <v>1</v>
      </c>
      <c r="F221" s="14">
        <v>79.989999999999995</v>
      </c>
      <c r="G221" s="14">
        <v>79.989999999999995</v>
      </c>
      <c r="H221" s="7" t="s">
        <v>941</v>
      </c>
      <c r="I221" s="7" t="s">
        <v>956</v>
      </c>
      <c r="J221" s="7" t="s">
        <v>1100</v>
      </c>
      <c r="K221" s="7" t="str">
        <f>HYPERLINK("http://slimages.macys.com/is/image/MCY/17481246 ")</f>
        <v xml:space="preserve">http://slimages.macys.com/is/image/MCY/17481246 </v>
      </c>
    </row>
    <row r="222" spans="1:11" ht="20.100000000000001" customHeight="1" x14ac:dyDescent="0.25">
      <c r="A222" s="12" t="s">
        <v>1362</v>
      </c>
      <c r="B222" s="13">
        <v>13768424</v>
      </c>
      <c r="C222" s="8">
        <v>732999609710</v>
      </c>
      <c r="D222" s="6" t="s">
        <v>1427</v>
      </c>
      <c r="E222" s="18">
        <v>1</v>
      </c>
      <c r="F222" s="14">
        <v>79.989999999999995</v>
      </c>
      <c r="G222" s="14">
        <v>79.989999999999995</v>
      </c>
      <c r="H222" s="7" t="s">
        <v>1013</v>
      </c>
      <c r="I222" s="7" t="s">
        <v>956</v>
      </c>
      <c r="J222" s="7" t="s">
        <v>1014</v>
      </c>
      <c r="K222" s="7" t="str">
        <f>HYPERLINK("http://slimages.macys.com/is/image/MCY/17530946 ")</f>
        <v xml:space="preserve">http://slimages.macys.com/is/image/MCY/17530946 </v>
      </c>
    </row>
    <row r="223" spans="1:11" ht="20.100000000000001" customHeight="1" x14ac:dyDescent="0.25">
      <c r="A223" s="12" t="s">
        <v>1362</v>
      </c>
      <c r="B223" s="13">
        <v>13768424</v>
      </c>
      <c r="C223" s="8">
        <v>732999609758</v>
      </c>
      <c r="D223" s="6" t="s">
        <v>1153</v>
      </c>
      <c r="E223" s="18">
        <v>1</v>
      </c>
      <c r="F223" s="14">
        <v>199.99</v>
      </c>
      <c r="G223" s="14">
        <v>199.99</v>
      </c>
      <c r="H223" s="7" t="s">
        <v>1013</v>
      </c>
      <c r="I223" s="7" t="s">
        <v>956</v>
      </c>
      <c r="J223" s="7" t="s">
        <v>1107</v>
      </c>
      <c r="K223" s="7" t="str">
        <f>HYPERLINK("http://slimages.macys.com/is/image/MCY/17531741 ")</f>
        <v xml:space="preserve">http://slimages.macys.com/is/image/MCY/17531741 </v>
      </c>
    </row>
    <row r="224" spans="1:11" ht="20.100000000000001" customHeight="1" x14ac:dyDescent="0.25">
      <c r="A224" s="12" t="s">
        <v>1362</v>
      </c>
      <c r="B224" s="13">
        <v>13768424</v>
      </c>
      <c r="C224" s="8">
        <v>732999786510</v>
      </c>
      <c r="D224" s="6" t="s">
        <v>773</v>
      </c>
      <c r="E224" s="18">
        <v>2</v>
      </c>
      <c r="F224" s="14">
        <v>13.99</v>
      </c>
      <c r="G224" s="14">
        <v>27.98</v>
      </c>
      <c r="H224" s="7" t="s">
        <v>941</v>
      </c>
      <c r="I224" s="7" t="s">
        <v>1058</v>
      </c>
      <c r="J224" s="7" t="s">
        <v>1084</v>
      </c>
      <c r="K224" s="7" t="str">
        <f>HYPERLINK("http://slimages.macys.com/is/image/MCY/17933832 ")</f>
        <v xml:space="preserve">http://slimages.macys.com/is/image/MCY/17933832 </v>
      </c>
    </row>
    <row r="225" spans="1:11" ht="20.100000000000001" customHeight="1" x14ac:dyDescent="0.25">
      <c r="A225" s="12" t="s">
        <v>1362</v>
      </c>
      <c r="B225" s="13">
        <v>13768424</v>
      </c>
      <c r="C225" s="8">
        <v>732999786534</v>
      </c>
      <c r="D225" s="6" t="s">
        <v>774</v>
      </c>
      <c r="E225" s="18">
        <v>1</v>
      </c>
      <c r="F225" s="14">
        <v>29.99</v>
      </c>
      <c r="G225" s="14">
        <v>29.99</v>
      </c>
      <c r="H225" s="7" t="s">
        <v>941</v>
      </c>
      <c r="I225" s="7" t="s">
        <v>971</v>
      </c>
      <c r="J225" s="7" t="s">
        <v>972</v>
      </c>
      <c r="K225" s="7" t="str">
        <f>HYPERLINK("http://slimages.macys.com/is/image/MCY/18432829 ")</f>
        <v xml:space="preserve">http://slimages.macys.com/is/image/MCY/18432829 </v>
      </c>
    </row>
    <row r="226" spans="1:11" ht="20.100000000000001" customHeight="1" x14ac:dyDescent="0.25">
      <c r="A226" s="12" t="s">
        <v>1362</v>
      </c>
      <c r="B226" s="13">
        <v>13768424</v>
      </c>
      <c r="C226" s="8">
        <v>732999788064</v>
      </c>
      <c r="D226" s="6" t="s">
        <v>1252</v>
      </c>
      <c r="E226" s="18">
        <v>3</v>
      </c>
      <c r="F226" s="14">
        <v>12.99</v>
      </c>
      <c r="G226" s="14">
        <v>38.97</v>
      </c>
      <c r="H226" s="7" t="s">
        <v>1013</v>
      </c>
      <c r="I226" s="7" t="s">
        <v>971</v>
      </c>
      <c r="J226" s="7" t="s">
        <v>1117</v>
      </c>
      <c r="K226" s="7" t="str">
        <f>HYPERLINK("http://slimages.macys.com/is/image/MCY/18819198 ")</f>
        <v xml:space="preserve">http://slimages.macys.com/is/image/MCY/18819198 </v>
      </c>
    </row>
    <row r="227" spans="1:11" ht="20.100000000000001" customHeight="1" x14ac:dyDescent="0.25">
      <c r="A227" s="12" t="s">
        <v>1362</v>
      </c>
      <c r="B227" s="13">
        <v>13768424</v>
      </c>
      <c r="C227" s="8">
        <v>732999971626</v>
      </c>
      <c r="D227" s="6" t="s">
        <v>1255</v>
      </c>
      <c r="E227" s="18">
        <v>1</v>
      </c>
      <c r="F227" s="14">
        <v>249.99</v>
      </c>
      <c r="G227" s="14">
        <v>249.99</v>
      </c>
      <c r="H227" s="7" t="s">
        <v>1050</v>
      </c>
      <c r="I227" s="7" t="s">
        <v>956</v>
      </c>
      <c r="J227" s="7" t="s">
        <v>1014</v>
      </c>
      <c r="K227" s="7" t="str">
        <f>HYPERLINK("http://slimages.macys.com/is/image/MCY/18413016 ")</f>
        <v xml:space="preserve">http://slimages.macys.com/is/image/MCY/18413016 </v>
      </c>
    </row>
    <row r="228" spans="1:11" ht="20.100000000000001" customHeight="1" x14ac:dyDescent="0.25">
      <c r="A228" s="12" t="s">
        <v>1362</v>
      </c>
      <c r="B228" s="13">
        <v>13768424</v>
      </c>
      <c r="C228" s="8">
        <v>733001052692</v>
      </c>
      <c r="D228" s="6" t="s">
        <v>775</v>
      </c>
      <c r="E228" s="18">
        <v>1</v>
      </c>
      <c r="F228" s="14">
        <v>169.99</v>
      </c>
      <c r="G228" s="14">
        <v>169.99</v>
      </c>
      <c r="H228" s="7" t="s">
        <v>941</v>
      </c>
      <c r="I228" s="7" t="s">
        <v>956</v>
      </c>
      <c r="J228" s="7" t="s">
        <v>957</v>
      </c>
      <c r="K228" s="7" t="str">
        <f>HYPERLINK("http://slimages.macys.com/is/image/MCY/18083601 ")</f>
        <v xml:space="preserve">http://slimages.macys.com/is/image/MCY/18083601 </v>
      </c>
    </row>
    <row r="229" spans="1:11" ht="20.100000000000001" customHeight="1" x14ac:dyDescent="0.25">
      <c r="A229" s="12" t="s">
        <v>1362</v>
      </c>
      <c r="B229" s="13">
        <v>13768424</v>
      </c>
      <c r="C229" s="8">
        <v>733001092599</v>
      </c>
      <c r="D229" s="6" t="s">
        <v>1247</v>
      </c>
      <c r="E229" s="18">
        <v>2</v>
      </c>
      <c r="F229" s="14">
        <v>69.989999999999995</v>
      </c>
      <c r="G229" s="14">
        <v>139.97999999999999</v>
      </c>
      <c r="H229" s="7" t="s">
        <v>941</v>
      </c>
      <c r="I229" s="7" t="s">
        <v>956</v>
      </c>
      <c r="J229" s="7" t="s">
        <v>1014</v>
      </c>
      <c r="K229" s="7" t="str">
        <f>HYPERLINK("http://slimages.macys.com/is/image/MCY/18173219 ")</f>
        <v xml:space="preserve">http://slimages.macys.com/is/image/MCY/18173219 </v>
      </c>
    </row>
    <row r="230" spans="1:11" ht="20.100000000000001" customHeight="1" x14ac:dyDescent="0.25">
      <c r="A230" s="12" t="s">
        <v>1362</v>
      </c>
      <c r="B230" s="13">
        <v>13768424</v>
      </c>
      <c r="C230" s="8">
        <v>733001092629</v>
      </c>
      <c r="D230" s="6" t="s">
        <v>776</v>
      </c>
      <c r="E230" s="18">
        <v>1</v>
      </c>
      <c r="F230" s="14">
        <v>249.99</v>
      </c>
      <c r="G230" s="14">
        <v>249.99</v>
      </c>
      <c r="H230" s="7" t="s">
        <v>941</v>
      </c>
      <c r="I230" s="7" t="s">
        <v>956</v>
      </c>
      <c r="J230" s="7" t="s">
        <v>1014</v>
      </c>
      <c r="K230" s="7" t="str">
        <f>HYPERLINK("http://slimages.macys.com/is/image/MCY/18173132 ")</f>
        <v xml:space="preserve">http://slimages.macys.com/is/image/MCY/18173132 </v>
      </c>
    </row>
    <row r="231" spans="1:11" ht="20.100000000000001" customHeight="1" x14ac:dyDescent="0.25">
      <c r="A231" s="12" t="s">
        <v>1362</v>
      </c>
      <c r="B231" s="13">
        <v>13768424</v>
      </c>
      <c r="C231" s="8">
        <v>733001092797</v>
      </c>
      <c r="D231" s="6" t="s">
        <v>777</v>
      </c>
      <c r="E231" s="18">
        <v>1</v>
      </c>
      <c r="F231" s="14">
        <v>299.99</v>
      </c>
      <c r="G231" s="14">
        <v>299.99</v>
      </c>
      <c r="H231" s="7" t="s">
        <v>941</v>
      </c>
      <c r="I231" s="7" t="s">
        <v>956</v>
      </c>
      <c r="J231" s="7" t="s">
        <v>1107</v>
      </c>
      <c r="K231" s="7" t="str">
        <f>HYPERLINK("http://slimages.macys.com/is/image/MCY/18289943 ")</f>
        <v xml:space="preserve">http://slimages.macys.com/is/image/MCY/18289943 </v>
      </c>
    </row>
    <row r="232" spans="1:11" ht="20.100000000000001" customHeight="1" x14ac:dyDescent="0.25">
      <c r="A232" s="12" t="s">
        <v>1362</v>
      </c>
      <c r="B232" s="13">
        <v>13768424</v>
      </c>
      <c r="C232" s="8">
        <v>733001365815</v>
      </c>
      <c r="D232" s="6" t="s">
        <v>778</v>
      </c>
      <c r="E232" s="18">
        <v>2</v>
      </c>
      <c r="F232" s="14">
        <v>149.99</v>
      </c>
      <c r="G232" s="14">
        <v>299.98</v>
      </c>
      <c r="H232" s="7" t="s">
        <v>1116</v>
      </c>
      <c r="I232" s="7" t="s">
        <v>1097</v>
      </c>
      <c r="J232" s="7" t="s">
        <v>1098</v>
      </c>
      <c r="K232" s="7" t="str">
        <f>HYPERLINK("http://slimages.macys.com/is/image/MCY/17773249 ")</f>
        <v xml:space="preserve">http://slimages.macys.com/is/image/MCY/17773249 </v>
      </c>
    </row>
    <row r="233" spans="1:11" ht="20.100000000000001" customHeight="1" x14ac:dyDescent="0.25">
      <c r="A233" s="12" t="s">
        <v>1362</v>
      </c>
      <c r="B233" s="13">
        <v>13768424</v>
      </c>
      <c r="C233" s="8">
        <v>733001466451</v>
      </c>
      <c r="D233" s="6" t="s">
        <v>779</v>
      </c>
      <c r="E233" s="18">
        <v>1</v>
      </c>
      <c r="F233" s="14">
        <v>289.99</v>
      </c>
      <c r="G233" s="14">
        <v>289.99</v>
      </c>
      <c r="H233" s="7" t="s">
        <v>941</v>
      </c>
      <c r="I233" s="7" t="s">
        <v>1011</v>
      </c>
      <c r="J233" s="7" t="s">
        <v>1134</v>
      </c>
      <c r="K233" s="7" t="str">
        <f>HYPERLINK("http://slimages.macys.com/is/image/MCY/17933753 ")</f>
        <v xml:space="preserve">http://slimages.macys.com/is/image/MCY/17933753 </v>
      </c>
    </row>
    <row r="234" spans="1:11" ht="20.100000000000001" customHeight="1" x14ac:dyDescent="0.25">
      <c r="A234" s="12" t="s">
        <v>1362</v>
      </c>
      <c r="B234" s="13">
        <v>13768424</v>
      </c>
      <c r="C234" s="8">
        <v>733001487432</v>
      </c>
      <c r="D234" s="6" t="s">
        <v>780</v>
      </c>
      <c r="E234" s="18">
        <v>2</v>
      </c>
      <c r="F234" s="14">
        <v>39.99</v>
      </c>
      <c r="G234" s="14">
        <v>79.98</v>
      </c>
      <c r="H234" s="7" t="s">
        <v>952</v>
      </c>
      <c r="I234" s="7" t="s">
        <v>1022</v>
      </c>
      <c r="J234" s="7" t="s">
        <v>1073</v>
      </c>
      <c r="K234" s="7" t="str">
        <f>HYPERLINK("http://slimages.macys.com/is/image/MCY/17667941 ")</f>
        <v xml:space="preserve">http://slimages.macys.com/is/image/MCY/17667941 </v>
      </c>
    </row>
    <row r="235" spans="1:11" ht="20.100000000000001" customHeight="1" x14ac:dyDescent="0.25">
      <c r="A235" s="12" t="s">
        <v>1362</v>
      </c>
      <c r="B235" s="13">
        <v>13768424</v>
      </c>
      <c r="C235" s="8">
        <v>733001891789</v>
      </c>
      <c r="D235" s="6" t="s">
        <v>781</v>
      </c>
      <c r="E235" s="18">
        <v>2</v>
      </c>
      <c r="F235" s="14">
        <v>34.99</v>
      </c>
      <c r="G235" s="14">
        <v>69.98</v>
      </c>
      <c r="H235" s="7" t="s">
        <v>1050</v>
      </c>
      <c r="I235" s="7" t="s">
        <v>1097</v>
      </c>
      <c r="J235" s="7" t="s">
        <v>1098</v>
      </c>
      <c r="K235" s="7" t="str">
        <f>HYPERLINK("http://slimages.macys.com/is/image/MCY/17450425 ")</f>
        <v xml:space="preserve">http://slimages.macys.com/is/image/MCY/17450425 </v>
      </c>
    </row>
    <row r="236" spans="1:11" ht="20.100000000000001" customHeight="1" x14ac:dyDescent="0.25">
      <c r="A236" s="12" t="s">
        <v>1362</v>
      </c>
      <c r="B236" s="13">
        <v>13768424</v>
      </c>
      <c r="C236" s="8">
        <v>733001923183</v>
      </c>
      <c r="D236" s="6" t="s">
        <v>782</v>
      </c>
      <c r="E236" s="18">
        <v>1</v>
      </c>
      <c r="F236" s="14">
        <v>229.99</v>
      </c>
      <c r="G236" s="14">
        <v>229.99</v>
      </c>
      <c r="H236" s="7" t="s">
        <v>988</v>
      </c>
      <c r="I236" s="7" t="s">
        <v>956</v>
      </c>
      <c r="J236" s="7" t="s">
        <v>1014</v>
      </c>
      <c r="K236" s="7" t="str">
        <f>HYPERLINK("http://slimages.macys.com/is/image/MCY/18613770 ")</f>
        <v xml:space="preserve">http://slimages.macys.com/is/image/MCY/18613770 </v>
      </c>
    </row>
    <row r="237" spans="1:11" ht="20.100000000000001" customHeight="1" x14ac:dyDescent="0.25">
      <c r="A237" s="12" t="s">
        <v>1362</v>
      </c>
      <c r="B237" s="13">
        <v>13768424</v>
      </c>
      <c r="C237" s="8">
        <v>733001923190</v>
      </c>
      <c r="D237" s="6" t="s">
        <v>1241</v>
      </c>
      <c r="E237" s="18">
        <v>1</v>
      </c>
      <c r="F237" s="14">
        <v>279.99</v>
      </c>
      <c r="G237" s="14">
        <v>279.99</v>
      </c>
      <c r="H237" s="7" t="s">
        <v>988</v>
      </c>
      <c r="I237" s="7" t="s">
        <v>956</v>
      </c>
      <c r="J237" s="7" t="s">
        <v>1014</v>
      </c>
      <c r="K237" s="7" t="str">
        <f>HYPERLINK("http://slimages.macys.com/is/image/MCY/18613770 ")</f>
        <v xml:space="preserve">http://slimages.macys.com/is/image/MCY/18613770 </v>
      </c>
    </row>
    <row r="238" spans="1:11" ht="20.100000000000001" customHeight="1" x14ac:dyDescent="0.25">
      <c r="A238" s="12" t="s">
        <v>1362</v>
      </c>
      <c r="B238" s="13">
        <v>13768424</v>
      </c>
      <c r="C238" s="8">
        <v>733001923312</v>
      </c>
      <c r="D238" s="6" t="s">
        <v>783</v>
      </c>
      <c r="E238" s="18">
        <v>1</v>
      </c>
      <c r="F238" s="14">
        <v>279.99</v>
      </c>
      <c r="G238" s="14">
        <v>279.99</v>
      </c>
      <c r="H238" s="7" t="s">
        <v>988</v>
      </c>
      <c r="I238" s="7" t="s">
        <v>956</v>
      </c>
      <c r="J238" s="7" t="s">
        <v>1014</v>
      </c>
      <c r="K238" s="7" t="str">
        <f>HYPERLINK("http://slimages.macys.com/is/image/MCY/18613789 ")</f>
        <v xml:space="preserve">http://slimages.macys.com/is/image/MCY/18613789 </v>
      </c>
    </row>
    <row r="239" spans="1:11" ht="20.100000000000001" customHeight="1" x14ac:dyDescent="0.25">
      <c r="A239" s="12" t="s">
        <v>1362</v>
      </c>
      <c r="B239" s="13">
        <v>13768424</v>
      </c>
      <c r="C239" s="8">
        <v>733001923398</v>
      </c>
      <c r="D239" s="6" t="s">
        <v>784</v>
      </c>
      <c r="E239" s="18">
        <v>1</v>
      </c>
      <c r="F239" s="14">
        <v>89.99</v>
      </c>
      <c r="G239" s="14">
        <v>89.99</v>
      </c>
      <c r="H239" s="7" t="s">
        <v>988</v>
      </c>
      <c r="I239" s="7" t="s">
        <v>956</v>
      </c>
      <c r="J239" s="7" t="s">
        <v>1014</v>
      </c>
      <c r="K239" s="7" t="str">
        <f>HYPERLINK("http://slimages.macys.com/is/image/MCY/18613792 ")</f>
        <v xml:space="preserve">http://slimages.macys.com/is/image/MCY/18613792 </v>
      </c>
    </row>
    <row r="240" spans="1:11" ht="20.100000000000001" customHeight="1" x14ac:dyDescent="0.25">
      <c r="A240" s="12" t="s">
        <v>1362</v>
      </c>
      <c r="B240" s="13">
        <v>13768424</v>
      </c>
      <c r="C240" s="8">
        <v>733001947622</v>
      </c>
      <c r="D240" s="6" t="s">
        <v>785</v>
      </c>
      <c r="E240" s="18">
        <v>1</v>
      </c>
      <c r="F240" s="14">
        <v>29.99</v>
      </c>
      <c r="G240" s="14">
        <v>29.99</v>
      </c>
      <c r="H240" s="7" t="s">
        <v>1062</v>
      </c>
      <c r="I240" s="7" t="s">
        <v>971</v>
      </c>
      <c r="J240" s="7" t="s">
        <v>972</v>
      </c>
      <c r="K240" s="7" t="str">
        <f>HYPERLINK("http://slimages.macys.com/is/image/MCY/18432697 ")</f>
        <v xml:space="preserve">http://slimages.macys.com/is/image/MCY/18432697 </v>
      </c>
    </row>
    <row r="241" spans="1:11" ht="20.100000000000001" customHeight="1" x14ac:dyDescent="0.25">
      <c r="A241" s="12" t="s">
        <v>1362</v>
      </c>
      <c r="B241" s="13">
        <v>13768424</v>
      </c>
      <c r="C241" s="8">
        <v>733002007929</v>
      </c>
      <c r="D241" s="6" t="s">
        <v>786</v>
      </c>
      <c r="E241" s="18">
        <v>2</v>
      </c>
      <c r="F241" s="14">
        <v>69.989999999999995</v>
      </c>
      <c r="G241" s="14">
        <v>139.97999999999999</v>
      </c>
      <c r="H241" s="7" t="s">
        <v>1050</v>
      </c>
      <c r="I241" s="7" t="s">
        <v>956</v>
      </c>
      <c r="J241" s="7" t="s">
        <v>1109</v>
      </c>
      <c r="K241" s="7" t="str">
        <f>HYPERLINK("http://slimages.macys.com/is/image/MCY/18631916 ")</f>
        <v xml:space="preserve">http://slimages.macys.com/is/image/MCY/18631916 </v>
      </c>
    </row>
    <row r="242" spans="1:11" ht="20.100000000000001" customHeight="1" x14ac:dyDescent="0.25">
      <c r="A242" s="12" t="s">
        <v>1362</v>
      </c>
      <c r="B242" s="13">
        <v>13768424</v>
      </c>
      <c r="C242" s="8">
        <v>733002052189</v>
      </c>
      <c r="D242" s="6" t="s">
        <v>787</v>
      </c>
      <c r="E242" s="18">
        <v>1</v>
      </c>
      <c r="F242" s="14">
        <v>119.99</v>
      </c>
      <c r="G242" s="14">
        <v>119.99</v>
      </c>
      <c r="H242" s="7" t="s">
        <v>1013</v>
      </c>
      <c r="I242" s="7" t="s">
        <v>1022</v>
      </c>
      <c r="J242" s="7" t="s">
        <v>1254</v>
      </c>
      <c r="K242" s="7" t="str">
        <f>HYPERLINK("http://slimages.macys.com/is/image/MCY/18364500 ")</f>
        <v xml:space="preserve">http://slimages.macys.com/is/image/MCY/18364500 </v>
      </c>
    </row>
    <row r="243" spans="1:11" ht="20.100000000000001" customHeight="1" x14ac:dyDescent="0.25">
      <c r="A243" s="12" t="s">
        <v>1362</v>
      </c>
      <c r="B243" s="13">
        <v>13768424</v>
      </c>
      <c r="C243" s="8">
        <v>733002201686</v>
      </c>
      <c r="D243" s="6" t="s">
        <v>788</v>
      </c>
      <c r="E243" s="18">
        <v>1</v>
      </c>
      <c r="F243" s="14">
        <v>169.99</v>
      </c>
      <c r="G243" s="14">
        <v>169.99</v>
      </c>
      <c r="H243" s="7" t="s">
        <v>941</v>
      </c>
      <c r="I243" s="7" t="s">
        <v>1097</v>
      </c>
      <c r="J243" s="7" t="s">
        <v>1098</v>
      </c>
      <c r="K243" s="7" t="str">
        <f>HYPERLINK("http://slimages.macys.com/is/image/MCY/18891300 ")</f>
        <v xml:space="preserve">http://slimages.macys.com/is/image/MCY/18891300 </v>
      </c>
    </row>
    <row r="244" spans="1:11" ht="20.100000000000001" customHeight="1" x14ac:dyDescent="0.25">
      <c r="A244" s="12" t="s">
        <v>1362</v>
      </c>
      <c r="B244" s="13">
        <v>13768424</v>
      </c>
      <c r="C244" s="8">
        <v>733002247066</v>
      </c>
      <c r="D244" s="6" t="s">
        <v>1320</v>
      </c>
      <c r="E244" s="18">
        <v>1</v>
      </c>
      <c r="F244" s="14">
        <v>199.99</v>
      </c>
      <c r="G244" s="14">
        <v>199.99</v>
      </c>
      <c r="H244" s="7" t="s">
        <v>997</v>
      </c>
      <c r="I244" s="7" t="s">
        <v>956</v>
      </c>
      <c r="J244" s="7" t="s">
        <v>1014</v>
      </c>
      <c r="K244" s="7" t="str">
        <f>HYPERLINK("http://slimages.macys.com/is/image/MCY/18821935 ")</f>
        <v xml:space="preserve">http://slimages.macys.com/is/image/MCY/18821935 </v>
      </c>
    </row>
    <row r="245" spans="1:11" ht="20.100000000000001" customHeight="1" x14ac:dyDescent="0.25">
      <c r="A245" s="12" t="s">
        <v>1362</v>
      </c>
      <c r="B245" s="13">
        <v>13768424</v>
      </c>
      <c r="C245" s="8">
        <v>733002432561</v>
      </c>
      <c r="D245" s="6" t="s">
        <v>789</v>
      </c>
      <c r="E245" s="18">
        <v>1</v>
      </c>
      <c r="F245" s="14">
        <v>49.99</v>
      </c>
      <c r="G245" s="14">
        <v>49.99</v>
      </c>
      <c r="H245" s="7" t="s">
        <v>1068</v>
      </c>
      <c r="I245" s="7" t="s">
        <v>969</v>
      </c>
      <c r="J245" s="7" t="s">
        <v>1233</v>
      </c>
      <c r="K245" s="7" t="str">
        <f>HYPERLINK("http://slimages.macys.com/is/image/MCY/18493041 ")</f>
        <v xml:space="preserve">http://slimages.macys.com/is/image/MCY/18493041 </v>
      </c>
    </row>
    <row r="246" spans="1:11" ht="20.100000000000001" customHeight="1" x14ac:dyDescent="0.25">
      <c r="A246" s="12" t="s">
        <v>1362</v>
      </c>
      <c r="B246" s="13">
        <v>13768424</v>
      </c>
      <c r="C246" s="8">
        <v>733002490547</v>
      </c>
      <c r="D246" s="6" t="s">
        <v>790</v>
      </c>
      <c r="E246" s="18">
        <v>1</v>
      </c>
      <c r="F246" s="14">
        <v>79.989999999999995</v>
      </c>
      <c r="G246" s="14">
        <v>79.989999999999995</v>
      </c>
      <c r="H246" s="7" t="s">
        <v>941</v>
      </c>
      <c r="I246" s="7" t="s">
        <v>1046</v>
      </c>
      <c r="J246" s="7" t="s">
        <v>1047</v>
      </c>
      <c r="K246" s="7" t="str">
        <f>HYPERLINK("http://slimages.macys.com/is/image/MCY/18829114 ")</f>
        <v xml:space="preserve">http://slimages.macys.com/is/image/MCY/18829114 </v>
      </c>
    </row>
    <row r="247" spans="1:11" ht="20.100000000000001" customHeight="1" x14ac:dyDescent="0.25">
      <c r="A247" s="12" t="s">
        <v>1362</v>
      </c>
      <c r="B247" s="13">
        <v>13768424</v>
      </c>
      <c r="C247" s="8">
        <v>733002506545</v>
      </c>
      <c r="D247" s="6" t="s">
        <v>791</v>
      </c>
      <c r="E247" s="18">
        <v>1</v>
      </c>
      <c r="F247" s="14">
        <v>249.99</v>
      </c>
      <c r="G247" s="14">
        <v>249.99</v>
      </c>
      <c r="H247" s="7" t="s">
        <v>941</v>
      </c>
      <c r="I247" s="7" t="s">
        <v>956</v>
      </c>
      <c r="J247" s="7" t="s">
        <v>1100</v>
      </c>
      <c r="K247" s="7" t="str">
        <f>HYPERLINK("http://slimages.macys.com/is/image/MCY/19021243 ")</f>
        <v xml:space="preserve">http://slimages.macys.com/is/image/MCY/19021243 </v>
      </c>
    </row>
    <row r="248" spans="1:11" ht="20.100000000000001" customHeight="1" x14ac:dyDescent="0.25">
      <c r="A248" s="12" t="s">
        <v>1362</v>
      </c>
      <c r="B248" s="13">
        <v>13768424</v>
      </c>
      <c r="C248" s="8">
        <v>733002506682</v>
      </c>
      <c r="D248" s="6" t="s">
        <v>792</v>
      </c>
      <c r="E248" s="18">
        <v>1</v>
      </c>
      <c r="F248" s="14">
        <v>79.989999999999995</v>
      </c>
      <c r="G248" s="14">
        <v>79.989999999999995</v>
      </c>
      <c r="H248" s="7" t="s">
        <v>941</v>
      </c>
      <c r="I248" s="7" t="s">
        <v>956</v>
      </c>
      <c r="J248" s="7" t="s">
        <v>1100</v>
      </c>
      <c r="K248" s="7" t="str">
        <f>HYPERLINK("http://slimages.macys.com/is/image/MCY/19021268 ")</f>
        <v xml:space="preserve">http://slimages.macys.com/is/image/MCY/19021268 </v>
      </c>
    </row>
    <row r="249" spans="1:11" ht="20.100000000000001" customHeight="1" x14ac:dyDescent="0.25">
      <c r="A249" s="12" t="s">
        <v>1362</v>
      </c>
      <c r="B249" s="13">
        <v>13768424</v>
      </c>
      <c r="C249" s="8">
        <v>733002506699</v>
      </c>
      <c r="D249" s="6" t="s">
        <v>793</v>
      </c>
      <c r="E249" s="18">
        <v>1</v>
      </c>
      <c r="F249" s="14">
        <v>79.989999999999995</v>
      </c>
      <c r="G249" s="14">
        <v>79.989999999999995</v>
      </c>
      <c r="H249" s="7" t="s">
        <v>941</v>
      </c>
      <c r="I249" s="7" t="s">
        <v>956</v>
      </c>
      <c r="J249" s="7" t="s">
        <v>1100</v>
      </c>
      <c r="K249" s="7" t="str">
        <f>HYPERLINK("http://slimages.macys.com/is/image/MCY/19021270 ")</f>
        <v xml:space="preserve">http://slimages.macys.com/is/image/MCY/19021270 </v>
      </c>
    </row>
    <row r="250" spans="1:11" ht="20.100000000000001" customHeight="1" x14ac:dyDescent="0.25">
      <c r="A250" s="12" t="s">
        <v>1362</v>
      </c>
      <c r="B250" s="13">
        <v>13768424</v>
      </c>
      <c r="C250" s="8">
        <v>733002506699</v>
      </c>
      <c r="D250" s="6" t="s">
        <v>793</v>
      </c>
      <c r="E250" s="18">
        <v>2</v>
      </c>
      <c r="F250" s="14">
        <v>79.989999999999995</v>
      </c>
      <c r="G250" s="14">
        <v>159.97999999999999</v>
      </c>
      <c r="H250" s="7" t="s">
        <v>941</v>
      </c>
      <c r="I250" s="7" t="s">
        <v>956</v>
      </c>
      <c r="J250" s="7" t="s">
        <v>1100</v>
      </c>
      <c r="K250" s="7" t="str">
        <f>HYPERLINK("http://slimages.macys.com/is/image/MCY/19021270 ")</f>
        <v xml:space="preserve">http://slimages.macys.com/is/image/MCY/19021270 </v>
      </c>
    </row>
    <row r="251" spans="1:11" ht="20.100000000000001" customHeight="1" x14ac:dyDescent="0.25">
      <c r="A251" s="12" t="s">
        <v>1362</v>
      </c>
      <c r="B251" s="13">
        <v>13768424</v>
      </c>
      <c r="C251" s="8">
        <v>733002640690</v>
      </c>
      <c r="D251" s="6" t="s">
        <v>1173</v>
      </c>
      <c r="E251" s="18">
        <v>1</v>
      </c>
      <c r="F251" s="14">
        <v>119.99</v>
      </c>
      <c r="G251" s="14">
        <v>119.99</v>
      </c>
      <c r="H251" s="7" t="s">
        <v>1068</v>
      </c>
      <c r="I251" s="7" t="s">
        <v>1080</v>
      </c>
      <c r="J251" s="7" t="s">
        <v>1117</v>
      </c>
      <c r="K251" s="7" t="str">
        <f>HYPERLINK("http://slimages.macys.com/is/image/MCY/18702628 ")</f>
        <v xml:space="preserve">http://slimages.macys.com/is/image/MCY/18702628 </v>
      </c>
    </row>
    <row r="252" spans="1:11" ht="20.100000000000001" customHeight="1" x14ac:dyDescent="0.25">
      <c r="A252" s="12" t="s">
        <v>1362</v>
      </c>
      <c r="B252" s="13">
        <v>13768424</v>
      </c>
      <c r="C252" s="8">
        <v>733002875467</v>
      </c>
      <c r="D252" s="6" t="s">
        <v>794</v>
      </c>
      <c r="E252" s="18">
        <v>1</v>
      </c>
      <c r="F252" s="14">
        <v>249.99</v>
      </c>
      <c r="G252" s="14">
        <v>249.99</v>
      </c>
      <c r="H252" s="7" t="s">
        <v>941</v>
      </c>
      <c r="I252" s="7" t="s">
        <v>956</v>
      </c>
      <c r="J252" s="7" t="s">
        <v>1109</v>
      </c>
      <c r="K252" s="7" t="str">
        <f>HYPERLINK("http://slimages.macys.com/is/image/MCY/19338078 ")</f>
        <v xml:space="preserve">http://slimages.macys.com/is/image/MCY/19338078 </v>
      </c>
    </row>
    <row r="253" spans="1:11" ht="20.100000000000001" customHeight="1" x14ac:dyDescent="0.25">
      <c r="A253" s="12" t="s">
        <v>1362</v>
      </c>
      <c r="B253" s="13">
        <v>13768424</v>
      </c>
      <c r="C253" s="8">
        <v>733004832536</v>
      </c>
      <c r="D253" s="6" t="s">
        <v>795</v>
      </c>
      <c r="E253" s="18">
        <v>1</v>
      </c>
      <c r="F253" s="14">
        <v>99.99</v>
      </c>
      <c r="G253" s="14">
        <v>99.99</v>
      </c>
      <c r="H253" s="7" t="s">
        <v>1095</v>
      </c>
      <c r="I253" s="7" t="s">
        <v>1332</v>
      </c>
      <c r="J253" s="7" t="s">
        <v>1353</v>
      </c>
      <c r="K253" s="7" t="str">
        <f>HYPERLINK("http://slimages.macys.com/is/image/MCY/1106881 ")</f>
        <v xml:space="preserve">http://slimages.macys.com/is/image/MCY/1106881 </v>
      </c>
    </row>
    <row r="254" spans="1:11" ht="20.100000000000001" customHeight="1" x14ac:dyDescent="0.25">
      <c r="A254" s="12" t="s">
        <v>1362</v>
      </c>
      <c r="B254" s="13">
        <v>13768424</v>
      </c>
      <c r="C254" s="8">
        <v>734737422940</v>
      </c>
      <c r="D254" s="6" t="s">
        <v>1282</v>
      </c>
      <c r="E254" s="18">
        <v>1</v>
      </c>
      <c r="F254" s="14">
        <v>49.99</v>
      </c>
      <c r="G254" s="14">
        <v>49.99</v>
      </c>
      <c r="H254" s="7" t="s">
        <v>984</v>
      </c>
      <c r="I254" s="7" t="s">
        <v>945</v>
      </c>
      <c r="J254" s="7" t="s">
        <v>974</v>
      </c>
      <c r="K254" s="7" t="str">
        <f>HYPERLINK("http://slimages.macys.com/is/image/MCY/8347198 ")</f>
        <v xml:space="preserve">http://slimages.macys.com/is/image/MCY/8347198 </v>
      </c>
    </row>
    <row r="255" spans="1:11" ht="20.100000000000001" customHeight="1" x14ac:dyDescent="0.25">
      <c r="A255" s="12" t="s">
        <v>1362</v>
      </c>
      <c r="B255" s="13">
        <v>13768424</v>
      </c>
      <c r="C255" s="8">
        <v>734737422964</v>
      </c>
      <c r="D255" s="6" t="s">
        <v>796</v>
      </c>
      <c r="E255" s="18">
        <v>2</v>
      </c>
      <c r="F255" s="14">
        <v>49.99</v>
      </c>
      <c r="G255" s="14">
        <v>99.98</v>
      </c>
      <c r="H255" s="7" t="s">
        <v>984</v>
      </c>
      <c r="I255" s="7" t="s">
        <v>945</v>
      </c>
      <c r="J255" s="7" t="s">
        <v>974</v>
      </c>
      <c r="K255" s="7" t="str">
        <f>HYPERLINK("http://slimages.macys.com/is/image/MCY/8347198 ")</f>
        <v xml:space="preserve">http://slimages.macys.com/is/image/MCY/8347198 </v>
      </c>
    </row>
    <row r="256" spans="1:11" ht="20.100000000000001" customHeight="1" x14ac:dyDescent="0.25">
      <c r="A256" s="12" t="s">
        <v>1362</v>
      </c>
      <c r="B256" s="13">
        <v>13768424</v>
      </c>
      <c r="C256" s="8">
        <v>734737425835</v>
      </c>
      <c r="D256" s="6" t="s">
        <v>797</v>
      </c>
      <c r="E256" s="18">
        <v>1</v>
      </c>
      <c r="F256" s="14">
        <v>49.99</v>
      </c>
      <c r="G256" s="14">
        <v>49.99</v>
      </c>
      <c r="H256" s="7" t="s">
        <v>941</v>
      </c>
      <c r="I256" s="7" t="s">
        <v>1003</v>
      </c>
      <c r="J256" s="7" t="s">
        <v>1133</v>
      </c>
      <c r="K256" s="7" t="str">
        <f>HYPERLINK("http://slimages.macys.com/is/image/MCY/3073694 ")</f>
        <v xml:space="preserve">http://slimages.macys.com/is/image/MCY/3073694 </v>
      </c>
    </row>
    <row r="257" spans="1:11" ht="20.100000000000001" customHeight="1" x14ac:dyDescent="0.25">
      <c r="A257" s="12" t="s">
        <v>1362</v>
      </c>
      <c r="B257" s="13">
        <v>13768424</v>
      </c>
      <c r="C257" s="8">
        <v>734737485655</v>
      </c>
      <c r="D257" s="6" t="s">
        <v>1385</v>
      </c>
      <c r="E257" s="18">
        <v>1</v>
      </c>
      <c r="F257" s="14">
        <v>49.99</v>
      </c>
      <c r="G257" s="14">
        <v>49.99</v>
      </c>
      <c r="H257" s="7" t="s">
        <v>950</v>
      </c>
      <c r="I257" s="7" t="s">
        <v>945</v>
      </c>
      <c r="J257" s="7" t="s">
        <v>974</v>
      </c>
      <c r="K257" s="7" t="str">
        <f>HYPERLINK("http://slimages.macys.com/is/image/MCY/8347198 ")</f>
        <v xml:space="preserve">http://slimages.macys.com/is/image/MCY/8347198 </v>
      </c>
    </row>
    <row r="258" spans="1:11" ht="20.100000000000001" customHeight="1" x14ac:dyDescent="0.25">
      <c r="A258" s="12" t="s">
        <v>1362</v>
      </c>
      <c r="B258" s="13">
        <v>13768424</v>
      </c>
      <c r="C258" s="8">
        <v>734737485655</v>
      </c>
      <c r="D258" s="6" t="s">
        <v>1385</v>
      </c>
      <c r="E258" s="18">
        <v>1</v>
      </c>
      <c r="F258" s="14">
        <v>49.99</v>
      </c>
      <c r="G258" s="14">
        <v>49.99</v>
      </c>
      <c r="H258" s="7" t="s">
        <v>950</v>
      </c>
      <c r="I258" s="7" t="s">
        <v>945</v>
      </c>
      <c r="J258" s="7" t="s">
        <v>974</v>
      </c>
      <c r="K258" s="7" t="str">
        <f>HYPERLINK("http://slimages.macys.com/is/image/MCY/8347198 ")</f>
        <v xml:space="preserve">http://slimages.macys.com/is/image/MCY/8347198 </v>
      </c>
    </row>
    <row r="259" spans="1:11" ht="20.100000000000001" customHeight="1" x14ac:dyDescent="0.25">
      <c r="A259" s="12" t="s">
        <v>1362</v>
      </c>
      <c r="B259" s="13">
        <v>13768424</v>
      </c>
      <c r="C259" s="8">
        <v>734737495579</v>
      </c>
      <c r="D259" s="6" t="s">
        <v>798</v>
      </c>
      <c r="E259" s="18">
        <v>1</v>
      </c>
      <c r="F259" s="14">
        <v>179.99</v>
      </c>
      <c r="G259" s="14">
        <v>179.99</v>
      </c>
      <c r="H259" s="7" t="s">
        <v>991</v>
      </c>
      <c r="I259" s="7" t="s">
        <v>1003</v>
      </c>
      <c r="J259" s="7" t="s">
        <v>1133</v>
      </c>
      <c r="K259" s="7" t="str">
        <f>HYPERLINK("http://slimages.macys.com/is/image/MCY/8689935 ")</f>
        <v xml:space="preserve">http://slimages.macys.com/is/image/MCY/8689935 </v>
      </c>
    </row>
    <row r="260" spans="1:11" ht="20.100000000000001" customHeight="1" x14ac:dyDescent="0.25">
      <c r="A260" s="12" t="s">
        <v>1362</v>
      </c>
      <c r="B260" s="13">
        <v>13768424</v>
      </c>
      <c r="C260" s="8">
        <v>734737532724</v>
      </c>
      <c r="D260" s="6" t="s">
        <v>975</v>
      </c>
      <c r="E260" s="18">
        <v>1</v>
      </c>
      <c r="F260" s="14">
        <v>49.99</v>
      </c>
      <c r="G260" s="14">
        <v>49.99</v>
      </c>
      <c r="H260" s="7" t="s">
        <v>941</v>
      </c>
      <c r="I260" s="7" t="s">
        <v>945</v>
      </c>
      <c r="J260" s="7" t="s">
        <v>974</v>
      </c>
      <c r="K260" s="7" t="str">
        <f>HYPERLINK("http://slimages.macys.com/is/image/MCY/9330026 ")</f>
        <v xml:space="preserve">http://slimages.macys.com/is/image/MCY/9330026 </v>
      </c>
    </row>
    <row r="261" spans="1:11" ht="20.100000000000001" customHeight="1" x14ac:dyDescent="0.25">
      <c r="A261" s="12" t="s">
        <v>1362</v>
      </c>
      <c r="B261" s="13">
        <v>13768424</v>
      </c>
      <c r="C261" s="8">
        <v>734737535985</v>
      </c>
      <c r="D261" s="6" t="s">
        <v>799</v>
      </c>
      <c r="E261" s="18">
        <v>4</v>
      </c>
      <c r="F261" s="14">
        <v>10.99</v>
      </c>
      <c r="G261" s="14">
        <v>43.96</v>
      </c>
      <c r="H261" s="7" t="s">
        <v>944</v>
      </c>
      <c r="I261" s="7" t="s">
        <v>958</v>
      </c>
      <c r="J261" s="7" t="s">
        <v>974</v>
      </c>
      <c r="K261" s="7" t="str">
        <f>HYPERLINK("http://slimages.macys.com/is/image/MCY/9515656 ")</f>
        <v xml:space="preserve">http://slimages.macys.com/is/image/MCY/9515656 </v>
      </c>
    </row>
    <row r="262" spans="1:11" ht="20.100000000000001" customHeight="1" x14ac:dyDescent="0.25">
      <c r="A262" s="12" t="s">
        <v>1362</v>
      </c>
      <c r="B262" s="13">
        <v>13768424</v>
      </c>
      <c r="C262" s="8">
        <v>734737552388</v>
      </c>
      <c r="D262" s="6" t="s">
        <v>983</v>
      </c>
      <c r="E262" s="18">
        <v>1</v>
      </c>
      <c r="F262" s="14">
        <v>29.99</v>
      </c>
      <c r="G262" s="14">
        <v>29.99</v>
      </c>
      <c r="H262" s="7" t="s">
        <v>984</v>
      </c>
      <c r="I262" s="7" t="s">
        <v>945</v>
      </c>
      <c r="J262" s="7" t="s">
        <v>974</v>
      </c>
      <c r="K262" s="7" t="str">
        <f>HYPERLINK("http://slimages.macys.com/is/image/MCY/9700679 ")</f>
        <v xml:space="preserve">http://slimages.macys.com/is/image/MCY/9700679 </v>
      </c>
    </row>
    <row r="263" spans="1:11" ht="20.100000000000001" customHeight="1" x14ac:dyDescent="0.25">
      <c r="A263" s="12" t="s">
        <v>1362</v>
      </c>
      <c r="B263" s="13">
        <v>13768424</v>
      </c>
      <c r="C263" s="8">
        <v>734737581364</v>
      </c>
      <c r="D263" s="6" t="s">
        <v>800</v>
      </c>
      <c r="E263" s="18">
        <v>1</v>
      </c>
      <c r="F263" s="14">
        <v>29.99</v>
      </c>
      <c r="G263" s="14">
        <v>29.99</v>
      </c>
      <c r="H263" s="7"/>
      <c r="I263" s="7" t="s">
        <v>945</v>
      </c>
      <c r="J263" s="7" t="s">
        <v>974</v>
      </c>
      <c r="K263" s="7" t="str">
        <f>HYPERLINK("http://slimages.macys.com/is/image/MCY/17597180 ")</f>
        <v xml:space="preserve">http://slimages.macys.com/is/image/MCY/17597180 </v>
      </c>
    </row>
    <row r="264" spans="1:11" ht="20.100000000000001" customHeight="1" x14ac:dyDescent="0.25">
      <c r="A264" s="12" t="s">
        <v>1362</v>
      </c>
      <c r="B264" s="13">
        <v>13768424</v>
      </c>
      <c r="C264" s="8">
        <v>734737581371</v>
      </c>
      <c r="D264" s="6" t="s">
        <v>801</v>
      </c>
      <c r="E264" s="18">
        <v>1</v>
      </c>
      <c r="F264" s="14">
        <v>29.99</v>
      </c>
      <c r="G264" s="14">
        <v>29.99</v>
      </c>
      <c r="H264" s="7" t="s">
        <v>944</v>
      </c>
      <c r="I264" s="7" t="s">
        <v>945</v>
      </c>
      <c r="J264" s="7" t="s">
        <v>974</v>
      </c>
      <c r="K264" s="7" t="str">
        <f>HYPERLINK("http://slimages.macys.com/is/image/MCY/17859291 ")</f>
        <v xml:space="preserve">http://slimages.macys.com/is/image/MCY/17859291 </v>
      </c>
    </row>
    <row r="265" spans="1:11" ht="20.100000000000001" customHeight="1" x14ac:dyDescent="0.25">
      <c r="A265" s="12" t="s">
        <v>1362</v>
      </c>
      <c r="B265" s="13">
        <v>13768424</v>
      </c>
      <c r="C265" s="8">
        <v>734737581500</v>
      </c>
      <c r="D265" s="6" t="s">
        <v>802</v>
      </c>
      <c r="E265" s="18">
        <v>1</v>
      </c>
      <c r="F265" s="14">
        <v>49.99</v>
      </c>
      <c r="G265" s="14">
        <v>49.99</v>
      </c>
      <c r="H265" s="7" t="s">
        <v>984</v>
      </c>
      <c r="I265" s="7" t="s">
        <v>945</v>
      </c>
      <c r="J265" s="7" t="s">
        <v>974</v>
      </c>
      <c r="K265" s="7" t="str">
        <f>HYPERLINK("http://slimages.macys.com/is/image/MCY/17814309 ")</f>
        <v xml:space="preserve">http://slimages.macys.com/is/image/MCY/17814309 </v>
      </c>
    </row>
    <row r="266" spans="1:11" ht="20.100000000000001" customHeight="1" x14ac:dyDescent="0.25">
      <c r="A266" s="12" t="s">
        <v>1362</v>
      </c>
      <c r="B266" s="13">
        <v>13768424</v>
      </c>
      <c r="C266" s="8">
        <v>734737581555</v>
      </c>
      <c r="D266" s="6" t="s">
        <v>803</v>
      </c>
      <c r="E266" s="18">
        <v>1</v>
      </c>
      <c r="F266" s="14">
        <v>49.99</v>
      </c>
      <c r="G266" s="14">
        <v>49.99</v>
      </c>
      <c r="H266" s="7" t="s">
        <v>984</v>
      </c>
      <c r="I266" s="7" t="s">
        <v>945</v>
      </c>
      <c r="J266" s="7" t="s">
        <v>974</v>
      </c>
      <c r="K266" s="7" t="str">
        <f>HYPERLINK("http://slimages.macys.com/is/image/MCY/17814696 ")</f>
        <v xml:space="preserve">http://slimages.macys.com/is/image/MCY/17814696 </v>
      </c>
    </row>
    <row r="267" spans="1:11" ht="20.100000000000001" customHeight="1" x14ac:dyDescent="0.25">
      <c r="A267" s="12" t="s">
        <v>1362</v>
      </c>
      <c r="B267" s="13">
        <v>13768424</v>
      </c>
      <c r="C267" s="8">
        <v>734737607811</v>
      </c>
      <c r="D267" s="6" t="s">
        <v>804</v>
      </c>
      <c r="E267" s="18">
        <v>1</v>
      </c>
      <c r="F267" s="14">
        <v>79.989999999999995</v>
      </c>
      <c r="G267" s="14">
        <v>79.989999999999995</v>
      </c>
      <c r="H267" s="7" t="s">
        <v>997</v>
      </c>
      <c r="I267" s="7" t="s">
        <v>1003</v>
      </c>
      <c r="J267" s="7" t="s">
        <v>1133</v>
      </c>
      <c r="K267" s="7" t="str">
        <f>HYPERLINK("http://slimages.macys.com/is/image/MCY/14373697 ")</f>
        <v xml:space="preserve">http://slimages.macys.com/is/image/MCY/14373697 </v>
      </c>
    </row>
    <row r="268" spans="1:11" ht="20.100000000000001" customHeight="1" x14ac:dyDescent="0.25">
      <c r="A268" s="12" t="s">
        <v>1362</v>
      </c>
      <c r="B268" s="13">
        <v>13768424</v>
      </c>
      <c r="C268" s="8">
        <v>734737617230</v>
      </c>
      <c r="D268" s="6" t="s">
        <v>805</v>
      </c>
      <c r="E268" s="18">
        <v>1</v>
      </c>
      <c r="F268" s="14">
        <v>49.99</v>
      </c>
      <c r="G268" s="14">
        <v>49.99</v>
      </c>
      <c r="H268" s="7"/>
      <c r="I268" s="7" t="s">
        <v>939</v>
      </c>
      <c r="J268" s="7" t="s">
        <v>974</v>
      </c>
      <c r="K268" s="7" t="str">
        <f>HYPERLINK("http://slimages.macys.com/is/image/MCY/15103695 ")</f>
        <v xml:space="preserve">http://slimages.macys.com/is/image/MCY/15103695 </v>
      </c>
    </row>
    <row r="269" spans="1:11" ht="20.100000000000001" customHeight="1" x14ac:dyDescent="0.25">
      <c r="A269" s="12" t="s">
        <v>1362</v>
      </c>
      <c r="B269" s="13">
        <v>13768424</v>
      </c>
      <c r="C269" s="8">
        <v>734737619722</v>
      </c>
      <c r="D269" s="6" t="s">
        <v>806</v>
      </c>
      <c r="E269" s="18">
        <v>1</v>
      </c>
      <c r="F269" s="14">
        <v>49.99</v>
      </c>
      <c r="G269" s="14">
        <v>49.99</v>
      </c>
      <c r="H269" s="7" t="s">
        <v>950</v>
      </c>
      <c r="I269" s="7" t="s">
        <v>945</v>
      </c>
      <c r="J269" s="7" t="s">
        <v>974</v>
      </c>
      <c r="K269" s="7" t="str">
        <f>HYPERLINK("http://slimages.macys.com/is/image/MCY/14634045 ")</f>
        <v xml:space="preserve">http://slimages.macys.com/is/image/MCY/14634045 </v>
      </c>
    </row>
    <row r="270" spans="1:11" ht="20.100000000000001" customHeight="1" x14ac:dyDescent="0.25">
      <c r="A270" s="12" t="s">
        <v>1362</v>
      </c>
      <c r="B270" s="13">
        <v>13768424</v>
      </c>
      <c r="C270" s="8">
        <v>734737634985</v>
      </c>
      <c r="D270" s="6" t="s">
        <v>807</v>
      </c>
      <c r="E270" s="18">
        <v>1</v>
      </c>
      <c r="F270" s="14">
        <v>39.99</v>
      </c>
      <c r="G270" s="14">
        <v>39.99</v>
      </c>
      <c r="H270" s="7" t="s">
        <v>944</v>
      </c>
      <c r="I270" s="7" t="s">
        <v>939</v>
      </c>
      <c r="J270" s="7" t="s">
        <v>974</v>
      </c>
      <c r="K270" s="7" t="str">
        <f>HYPERLINK("http://slimages.macys.com/is/image/MCY/17177962 ")</f>
        <v xml:space="preserve">http://slimages.macys.com/is/image/MCY/17177962 </v>
      </c>
    </row>
    <row r="271" spans="1:11" ht="20.100000000000001" customHeight="1" x14ac:dyDescent="0.25">
      <c r="A271" s="12" t="s">
        <v>1362</v>
      </c>
      <c r="B271" s="13">
        <v>13768424</v>
      </c>
      <c r="C271" s="8">
        <v>734737635104</v>
      </c>
      <c r="D271" s="6" t="s">
        <v>808</v>
      </c>
      <c r="E271" s="18">
        <v>1</v>
      </c>
      <c r="F271" s="14">
        <v>39.99</v>
      </c>
      <c r="G271" s="14">
        <v>39.99</v>
      </c>
      <c r="H271" s="7"/>
      <c r="I271" s="7" t="s">
        <v>939</v>
      </c>
      <c r="J271" s="7" t="s">
        <v>974</v>
      </c>
      <c r="K271" s="7" t="str">
        <f>HYPERLINK("http://slimages.macys.com/is/image/MCY/17177962 ")</f>
        <v xml:space="preserve">http://slimages.macys.com/is/image/MCY/17177962 </v>
      </c>
    </row>
    <row r="272" spans="1:11" ht="20.100000000000001" customHeight="1" x14ac:dyDescent="0.25">
      <c r="A272" s="12" t="s">
        <v>1362</v>
      </c>
      <c r="B272" s="13">
        <v>13768424</v>
      </c>
      <c r="C272" s="8">
        <v>734737637399</v>
      </c>
      <c r="D272" s="6" t="s">
        <v>809</v>
      </c>
      <c r="E272" s="18">
        <v>1</v>
      </c>
      <c r="F272" s="14">
        <v>49.99</v>
      </c>
      <c r="G272" s="14">
        <v>49.99</v>
      </c>
      <c r="H272" s="7" t="s">
        <v>944</v>
      </c>
      <c r="I272" s="7" t="s">
        <v>939</v>
      </c>
      <c r="J272" s="7" t="s">
        <v>974</v>
      </c>
      <c r="K272" s="7" t="str">
        <f>HYPERLINK("http://slimages.macys.com/is/image/MCY/17191784 ")</f>
        <v xml:space="preserve">http://slimages.macys.com/is/image/MCY/17191784 </v>
      </c>
    </row>
    <row r="273" spans="1:11" ht="20.100000000000001" customHeight="1" x14ac:dyDescent="0.25">
      <c r="A273" s="12" t="s">
        <v>1362</v>
      </c>
      <c r="B273" s="13">
        <v>13768424</v>
      </c>
      <c r="C273" s="8">
        <v>734737637405</v>
      </c>
      <c r="D273" s="6" t="s">
        <v>1179</v>
      </c>
      <c r="E273" s="18">
        <v>1</v>
      </c>
      <c r="F273" s="14">
        <v>49.99</v>
      </c>
      <c r="G273" s="14">
        <v>49.99</v>
      </c>
      <c r="H273" s="7" t="s">
        <v>944</v>
      </c>
      <c r="I273" s="7" t="s">
        <v>939</v>
      </c>
      <c r="J273" s="7" t="s">
        <v>974</v>
      </c>
      <c r="K273" s="7" t="str">
        <f>HYPERLINK("http://slimages.macys.com/is/image/MCY/17191785 ")</f>
        <v xml:space="preserve">http://slimages.macys.com/is/image/MCY/17191785 </v>
      </c>
    </row>
    <row r="274" spans="1:11" ht="20.100000000000001" customHeight="1" x14ac:dyDescent="0.25">
      <c r="A274" s="12" t="s">
        <v>1362</v>
      </c>
      <c r="B274" s="13">
        <v>13768424</v>
      </c>
      <c r="C274" s="8">
        <v>734737637405</v>
      </c>
      <c r="D274" s="6" t="s">
        <v>1179</v>
      </c>
      <c r="E274" s="18">
        <v>1</v>
      </c>
      <c r="F274" s="14">
        <v>49.99</v>
      </c>
      <c r="G274" s="14">
        <v>49.99</v>
      </c>
      <c r="H274" s="7" t="s">
        <v>944</v>
      </c>
      <c r="I274" s="7" t="s">
        <v>939</v>
      </c>
      <c r="J274" s="7" t="s">
        <v>974</v>
      </c>
      <c r="K274" s="7" t="str">
        <f>HYPERLINK("http://slimages.macys.com/is/image/MCY/17191785 ")</f>
        <v xml:space="preserve">http://slimages.macys.com/is/image/MCY/17191785 </v>
      </c>
    </row>
    <row r="275" spans="1:11" ht="20.100000000000001" customHeight="1" x14ac:dyDescent="0.25">
      <c r="A275" s="12" t="s">
        <v>1362</v>
      </c>
      <c r="B275" s="13">
        <v>13768424</v>
      </c>
      <c r="C275" s="8">
        <v>734737637450</v>
      </c>
      <c r="D275" s="6" t="s">
        <v>810</v>
      </c>
      <c r="E275" s="18">
        <v>1</v>
      </c>
      <c r="F275" s="14">
        <v>49.99</v>
      </c>
      <c r="G275" s="14">
        <v>49.99</v>
      </c>
      <c r="H275" s="7" t="s">
        <v>950</v>
      </c>
      <c r="I275" s="7" t="s">
        <v>939</v>
      </c>
      <c r="J275" s="7" t="s">
        <v>974</v>
      </c>
      <c r="K275" s="7" t="str">
        <f>HYPERLINK("http://slimages.macys.com/is/image/MCY/17191784 ")</f>
        <v xml:space="preserve">http://slimages.macys.com/is/image/MCY/17191784 </v>
      </c>
    </row>
    <row r="276" spans="1:11" ht="20.100000000000001" customHeight="1" x14ac:dyDescent="0.25">
      <c r="A276" s="12" t="s">
        <v>1362</v>
      </c>
      <c r="B276" s="13">
        <v>13768424</v>
      </c>
      <c r="C276" s="8">
        <v>734737637498</v>
      </c>
      <c r="D276" s="6" t="s">
        <v>811</v>
      </c>
      <c r="E276" s="18">
        <v>1</v>
      </c>
      <c r="F276" s="14">
        <v>49.99</v>
      </c>
      <c r="G276" s="14">
        <v>49.99</v>
      </c>
      <c r="H276" s="7" t="s">
        <v>1104</v>
      </c>
      <c r="I276" s="7" t="s">
        <v>939</v>
      </c>
      <c r="J276" s="7" t="s">
        <v>974</v>
      </c>
      <c r="K276" s="7" t="str">
        <f>HYPERLINK("http://slimages.macys.com/is/image/MCY/17191785 ")</f>
        <v xml:space="preserve">http://slimages.macys.com/is/image/MCY/17191785 </v>
      </c>
    </row>
    <row r="277" spans="1:11" ht="20.100000000000001" customHeight="1" x14ac:dyDescent="0.25">
      <c r="A277" s="12" t="s">
        <v>1362</v>
      </c>
      <c r="B277" s="13">
        <v>13768424</v>
      </c>
      <c r="C277" s="8">
        <v>734737671454</v>
      </c>
      <c r="D277" s="6" t="s">
        <v>812</v>
      </c>
      <c r="E277" s="18">
        <v>1</v>
      </c>
      <c r="F277" s="14">
        <v>49.99</v>
      </c>
      <c r="G277" s="14">
        <v>49.99</v>
      </c>
      <c r="H277" s="7" t="s">
        <v>1074</v>
      </c>
      <c r="I277" s="7" t="s">
        <v>945</v>
      </c>
      <c r="J277" s="7" t="s">
        <v>974</v>
      </c>
      <c r="K277" s="7" t="str">
        <f>HYPERLINK("http://slimages.macys.com/is/image/MCY/18725956 ")</f>
        <v xml:space="preserve">http://slimages.macys.com/is/image/MCY/18725956 </v>
      </c>
    </row>
    <row r="278" spans="1:11" ht="20.100000000000001" customHeight="1" x14ac:dyDescent="0.25">
      <c r="A278" s="12" t="s">
        <v>1362</v>
      </c>
      <c r="B278" s="13">
        <v>13768424</v>
      </c>
      <c r="C278" s="8">
        <v>734737671515</v>
      </c>
      <c r="D278" s="6" t="s">
        <v>1187</v>
      </c>
      <c r="E278" s="18">
        <v>1</v>
      </c>
      <c r="F278" s="14">
        <v>49.99</v>
      </c>
      <c r="G278" s="14">
        <v>49.99</v>
      </c>
      <c r="H278" s="7"/>
      <c r="I278" s="7" t="s">
        <v>945</v>
      </c>
      <c r="J278" s="7" t="s">
        <v>974</v>
      </c>
      <c r="K278" s="7" t="str">
        <f>HYPERLINK("http://slimages.macys.com/is/image/MCY/18916180 ")</f>
        <v xml:space="preserve">http://slimages.macys.com/is/image/MCY/18916180 </v>
      </c>
    </row>
    <row r="279" spans="1:11" ht="20.100000000000001" customHeight="1" x14ac:dyDescent="0.25">
      <c r="A279" s="12" t="s">
        <v>1362</v>
      </c>
      <c r="B279" s="13">
        <v>13768424</v>
      </c>
      <c r="C279" s="8">
        <v>734737671812</v>
      </c>
      <c r="D279" s="6" t="s">
        <v>813</v>
      </c>
      <c r="E279" s="18">
        <v>1</v>
      </c>
      <c r="F279" s="14">
        <v>59.99</v>
      </c>
      <c r="G279" s="14">
        <v>59.99</v>
      </c>
      <c r="H279" s="7"/>
      <c r="I279" s="7" t="s">
        <v>945</v>
      </c>
      <c r="J279" s="7" t="s">
        <v>974</v>
      </c>
      <c r="K279" s="7" t="str">
        <f>HYPERLINK("http://slimages.macys.com/is/image/MCY/18914957 ")</f>
        <v xml:space="preserve">http://slimages.macys.com/is/image/MCY/18914957 </v>
      </c>
    </row>
    <row r="280" spans="1:11" ht="20.100000000000001" customHeight="1" x14ac:dyDescent="0.25">
      <c r="A280" s="12" t="s">
        <v>1362</v>
      </c>
      <c r="B280" s="13">
        <v>13768424</v>
      </c>
      <c r="C280" s="8">
        <v>735732103865</v>
      </c>
      <c r="D280" s="6" t="s">
        <v>814</v>
      </c>
      <c r="E280" s="18">
        <v>1</v>
      </c>
      <c r="F280" s="14">
        <v>57.99</v>
      </c>
      <c r="G280" s="14">
        <v>57.99</v>
      </c>
      <c r="H280" s="7" t="s">
        <v>1016</v>
      </c>
      <c r="I280" s="7" t="s">
        <v>945</v>
      </c>
      <c r="J280" s="7" t="s">
        <v>1170</v>
      </c>
      <c r="K280" s="7" t="str">
        <f>HYPERLINK("http://slimages.macys.com/is/image/MCY/10290998 ")</f>
        <v xml:space="preserve">http://slimages.macys.com/is/image/MCY/10290998 </v>
      </c>
    </row>
    <row r="281" spans="1:11" ht="20.100000000000001" customHeight="1" x14ac:dyDescent="0.25">
      <c r="A281" s="12" t="s">
        <v>1362</v>
      </c>
      <c r="B281" s="13">
        <v>13768424</v>
      </c>
      <c r="C281" s="8">
        <v>735732106446</v>
      </c>
      <c r="D281" s="6" t="s">
        <v>419</v>
      </c>
      <c r="E281" s="18">
        <v>1</v>
      </c>
      <c r="F281" s="14">
        <v>24.99</v>
      </c>
      <c r="G281" s="14">
        <v>24.99</v>
      </c>
      <c r="H281" s="7" t="s">
        <v>950</v>
      </c>
      <c r="I281" s="7" t="s">
        <v>947</v>
      </c>
      <c r="J281" s="7" t="s">
        <v>1244</v>
      </c>
      <c r="K281" s="7" t="str">
        <f>HYPERLINK("http://slimages.macys.com/is/image/MCY/3250787 ")</f>
        <v xml:space="preserve">http://slimages.macys.com/is/image/MCY/3250787 </v>
      </c>
    </row>
    <row r="282" spans="1:11" ht="20.100000000000001" customHeight="1" x14ac:dyDescent="0.25">
      <c r="A282" s="12" t="s">
        <v>1362</v>
      </c>
      <c r="B282" s="13">
        <v>13768424</v>
      </c>
      <c r="C282" s="8">
        <v>735732189906</v>
      </c>
      <c r="D282" s="6" t="s">
        <v>1430</v>
      </c>
      <c r="E282" s="18">
        <v>1</v>
      </c>
      <c r="F282" s="14">
        <v>68.989999999999995</v>
      </c>
      <c r="G282" s="14">
        <v>68.989999999999995</v>
      </c>
      <c r="H282" s="7"/>
      <c r="I282" s="7" t="s">
        <v>947</v>
      </c>
      <c r="J282" s="7" t="s">
        <v>1244</v>
      </c>
      <c r="K282" s="7" t="str">
        <f>HYPERLINK("http://slimages.macys.com/is/image/MCY/10156489 ")</f>
        <v xml:space="preserve">http://slimages.macys.com/is/image/MCY/10156489 </v>
      </c>
    </row>
    <row r="283" spans="1:11" ht="20.100000000000001" customHeight="1" x14ac:dyDescent="0.25">
      <c r="A283" s="12" t="s">
        <v>1362</v>
      </c>
      <c r="B283" s="13">
        <v>13768424</v>
      </c>
      <c r="C283" s="8">
        <v>735837077467</v>
      </c>
      <c r="D283" s="6" t="s">
        <v>815</v>
      </c>
      <c r="E283" s="18">
        <v>1</v>
      </c>
      <c r="F283" s="14">
        <v>79.989999999999995</v>
      </c>
      <c r="G283" s="14">
        <v>79.989999999999995</v>
      </c>
      <c r="H283" s="7" t="s">
        <v>994</v>
      </c>
      <c r="I283" s="7" t="s">
        <v>1058</v>
      </c>
      <c r="J283" s="7" t="s">
        <v>1129</v>
      </c>
      <c r="K283" s="7" t="str">
        <f>HYPERLINK("http://slimages.macys.com/is/image/MCY/1067172 ")</f>
        <v xml:space="preserve">http://slimages.macys.com/is/image/MCY/1067172 </v>
      </c>
    </row>
    <row r="284" spans="1:11" ht="20.100000000000001" customHeight="1" x14ac:dyDescent="0.25">
      <c r="A284" s="12" t="s">
        <v>1362</v>
      </c>
      <c r="B284" s="13">
        <v>13768424</v>
      </c>
      <c r="C284" s="8">
        <v>735837077481</v>
      </c>
      <c r="D284" s="6" t="s">
        <v>423</v>
      </c>
      <c r="E284" s="18">
        <v>1</v>
      </c>
      <c r="F284" s="14">
        <v>99.99</v>
      </c>
      <c r="G284" s="14">
        <v>99.99</v>
      </c>
      <c r="H284" s="7" t="s">
        <v>994</v>
      </c>
      <c r="I284" s="7" t="s">
        <v>1058</v>
      </c>
      <c r="J284" s="7" t="s">
        <v>1129</v>
      </c>
      <c r="K284" s="7" t="str">
        <f>HYPERLINK("http://slimages.macys.com/is/image/MCY/1067172 ")</f>
        <v xml:space="preserve">http://slimages.macys.com/is/image/MCY/1067172 </v>
      </c>
    </row>
    <row r="285" spans="1:11" ht="20.100000000000001" customHeight="1" x14ac:dyDescent="0.25">
      <c r="A285" s="12" t="s">
        <v>1362</v>
      </c>
      <c r="B285" s="13">
        <v>13768424</v>
      </c>
      <c r="C285" s="8">
        <v>735837083055</v>
      </c>
      <c r="D285" s="6" t="s">
        <v>1431</v>
      </c>
      <c r="E285" s="18">
        <v>1</v>
      </c>
      <c r="F285" s="14">
        <v>199.99</v>
      </c>
      <c r="G285" s="14">
        <v>199.99</v>
      </c>
      <c r="H285" s="7" t="s">
        <v>941</v>
      </c>
      <c r="I285" s="7" t="s">
        <v>1011</v>
      </c>
      <c r="J285" s="7" t="s">
        <v>1129</v>
      </c>
      <c r="K285" s="7" t="str">
        <f>HYPERLINK("http://slimages.macys.com/is/image/MCY/2355760 ")</f>
        <v xml:space="preserve">http://slimages.macys.com/is/image/MCY/2355760 </v>
      </c>
    </row>
    <row r="286" spans="1:11" ht="20.100000000000001" customHeight="1" x14ac:dyDescent="0.25">
      <c r="A286" s="12" t="s">
        <v>1362</v>
      </c>
      <c r="B286" s="13">
        <v>13768424</v>
      </c>
      <c r="C286" s="8">
        <v>735837083055</v>
      </c>
      <c r="D286" s="6" t="s">
        <v>1431</v>
      </c>
      <c r="E286" s="18">
        <v>1</v>
      </c>
      <c r="F286" s="14">
        <v>199.99</v>
      </c>
      <c r="G286" s="14">
        <v>199.99</v>
      </c>
      <c r="H286" s="7" t="s">
        <v>941</v>
      </c>
      <c r="I286" s="7" t="s">
        <v>1011</v>
      </c>
      <c r="J286" s="7" t="s">
        <v>1129</v>
      </c>
      <c r="K286" s="7" t="str">
        <f>HYPERLINK("http://slimages.macys.com/is/image/MCY/2355760 ")</f>
        <v xml:space="preserve">http://slimages.macys.com/is/image/MCY/2355760 </v>
      </c>
    </row>
    <row r="287" spans="1:11" ht="20.100000000000001" customHeight="1" x14ac:dyDescent="0.25">
      <c r="A287" s="12" t="s">
        <v>1362</v>
      </c>
      <c r="B287" s="13">
        <v>13768424</v>
      </c>
      <c r="C287" s="8">
        <v>735837574157</v>
      </c>
      <c r="D287" s="6" t="s">
        <v>1147</v>
      </c>
      <c r="E287" s="18">
        <v>1</v>
      </c>
      <c r="F287" s="14">
        <v>339.99</v>
      </c>
      <c r="G287" s="14">
        <v>339.99</v>
      </c>
      <c r="H287" s="7" t="s">
        <v>941</v>
      </c>
      <c r="I287" s="7" t="s">
        <v>1011</v>
      </c>
      <c r="J287" s="7" t="s">
        <v>1129</v>
      </c>
      <c r="K287" s="7" t="str">
        <f>HYPERLINK("http://slimages.macys.com/is/image/MCY/3969345 ")</f>
        <v xml:space="preserve">http://slimages.macys.com/is/image/MCY/3969345 </v>
      </c>
    </row>
    <row r="288" spans="1:11" ht="20.100000000000001" customHeight="1" x14ac:dyDescent="0.25">
      <c r="A288" s="12" t="s">
        <v>1362</v>
      </c>
      <c r="B288" s="13">
        <v>13768424</v>
      </c>
      <c r="C288" s="8">
        <v>750105134024</v>
      </c>
      <c r="D288" s="6" t="s">
        <v>1130</v>
      </c>
      <c r="E288" s="18">
        <v>1</v>
      </c>
      <c r="F288" s="14">
        <v>139.99</v>
      </c>
      <c r="G288" s="14">
        <v>139.99</v>
      </c>
      <c r="H288" s="7" t="s">
        <v>941</v>
      </c>
      <c r="I288" s="7" t="s">
        <v>1011</v>
      </c>
      <c r="J288" s="7" t="s">
        <v>1084</v>
      </c>
      <c r="K288" s="7" t="str">
        <f>HYPERLINK("http://slimages.macys.com/is/image/MCY/3962569 ")</f>
        <v xml:space="preserve">http://slimages.macys.com/is/image/MCY/3962569 </v>
      </c>
    </row>
    <row r="289" spans="1:11" ht="20.100000000000001" customHeight="1" x14ac:dyDescent="0.25">
      <c r="A289" s="12" t="s">
        <v>1362</v>
      </c>
      <c r="B289" s="13">
        <v>13768424</v>
      </c>
      <c r="C289" s="8">
        <v>750105134413</v>
      </c>
      <c r="D289" s="6" t="s">
        <v>1327</v>
      </c>
      <c r="E289" s="18">
        <v>1</v>
      </c>
      <c r="F289" s="14">
        <v>199.99</v>
      </c>
      <c r="G289" s="14">
        <v>199.99</v>
      </c>
      <c r="H289" s="7" t="s">
        <v>941</v>
      </c>
      <c r="I289" s="7" t="s">
        <v>1011</v>
      </c>
      <c r="J289" s="7" t="s">
        <v>1084</v>
      </c>
      <c r="K289" s="7" t="str">
        <f>HYPERLINK("http://slimages.macys.com/is/image/MCY/3962568 ")</f>
        <v xml:space="preserve">http://slimages.macys.com/is/image/MCY/3962568 </v>
      </c>
    </row>
    <row r="290" spans="1:11" ht="20.100000000000001" customHeight="1" x14ac:dyDescent="0.25">
      <c r="A290" s="12" t="s">
        <v>1362</v>
      </c>
      <c r="B290" s="13">
        <v>13768424</v>
      </c>
      <c r="C290" s="8">
        <v>750105141428</v>
      </c>
      <c r="D290" s="6" t="s">
        <v>1155</v>
      </c>
      <c r="E290" s="18">
        <v>1</v>
      </c>
      <c r="F290" s="14">
        <v>169.99</v>
      </c>
      <c r="G290" s="14">
        <v>169.99</v>
      </c>
      <c r="H290" s="7" t="s">
        <v>941</v>
      </c>
      <c r="I290" s="7" t="s">
        <v>1011</v>
      </c>
      <c r="J290" s="7" t="s">
        <v>1134</v>
      </c>
      <c r="K290" s="7" t="str">
        <f>HYPERLINK("http://slimages.macys.com/is/image/MCY/11935772 ")</f>
        <v xml:space="preserve">http://slimages.macys.com/is/image/MCY/11935772 </v>
      </c>
    </row>
    <row r="291" spans="1:11" ht="20.100000000000001" customHeight="1" x14ac:dyDescent="0.25">
      <c r="A291" s="12" t="s">
        <v>1362</v>
      </c>
      <c r="B291" s="13">
        <v>13768424</v>
      </c>
      <c r="C291" s="8">
        <v>750105168975</v>
      </c>
      <c r="D291" s="6" t="s">
        <v>1328</v>
      </c>
      <c r="E291" s="18">
        <v>1</v>
      </c>
      <c r="F291" s="14">
        <v>16.989999999999998</v>
      </c>
      <c r="G291" s="14">
        <v>16.989999999999998</v>
      </c>
      <c r="H291" s="7" t="s">
        <v>941</v>
      </c>
      <c r="I291" s="7" t="s">
        <v>942</v>
      </c>
      <c r="J291" s="7" t="s">
        <v>1259</v>
      </c>
      <c r="K291" s="7" t="str">
        <f>HYPERLINK("http://slimages.macys.com/is/image/MCY/17934766 ")</f>
        <v xml:space="preserve">http://slimages.macys.com/is/image/MCY/17934766 </v>
      </c>
    </row>
    <row r="292" spans="1:11" ht="20.100000000000001" customHeight="1" x14ac:dyDescent="0.25">
      <c r="A292" s="12" t="s">
        <v>1362</v>
      </c>
      <c r="B292" s="13">
        <v>13768424</v>
      </c>
      <c r="C292" s="8">
        <v>766360449544</v>
      </c>
      <c r="D292" s="6" t="s">
        <v>1228</v>
      </c>
      <c r="E292" s="18">
        <v>1</v>
      </c>
      <c r="F292" s="14">
        <v>19.989999999999998</v>
      </c>
      <c r="G292" s="14">
        <v>19.989999999999998</v>
      </c>
      <c r="H292" s="7" t="s">
        <v>941</v>
      </c>
      <c r="I292" s="7" t="s">
        <v>971</v>
      </c>
      <c r="J292" s="7" t="s">
        <v>972</v>
      </c>
      <c r="K292" s="7" t="str">
        <f>HYPERLINK("http://slimages.macys.com/is/image/MCY/13285490 ")</f>
        <v xml:space="preserve">http://slimages.macys.com/is/image/MCY/13285490 </v>
      </c>
    </row>
    <row r="293" spans="1:11" ht="20.100000000000001" customHeight="1" x14ac:dyDescent="0.25">
      <c r="A293" s="12" t="s">
        <v>1362</v>
      </c>
      <c r="B293" s="13">
        <v>13768424</v>
      </c>
      <c r="C293" s="8">
        <v>766360449551</v>
      </c>
      <c r="D293" s="6" t="s">
        <v>816</v>
      </c>
      <c r="E293" s="18">
        <v>1</v>
      </c>
      <c r="F293" s="14">
        <v>19.989999999999998</v>
      </c>
      <c r="G293" s="14">
        <v>19.989999999999998</v>
      </c>
      <c r="H293" s="7" t="s">
        <v>952</v>
      </c>
      <c r="I293" s="7" t="s">
        <v>971</v>
      </c>
      <c r="J293" s="7" t="s">
        <v>972</v>
      </c>
      <c r="K293" s="7" t="str">
        <f>HYPERLINK("http://slimages.macys.com/is/image/MCY/13285490 ")</f>
        <v xml:space="preserve">http://slimages.macys.com/is/image/MCY/13285490 </v>
      </c>
    </row>
    <row r="294" spans="1:11" ht="20.100000000000001" customHeight="1" x14ac:dyDescent="0.25">
      <c r="A294" s="12" t="s">
        <v>1362</v>
      </c>
      <c r="B294" s="13">
        <v>13768424</v>
      </c>
      <c r="C294" s="8">
        <v>766360449605</v>
      </c>
      <c r="D294" s="6" t="s">
        <v>817</v>
      </c>
      <c r="E294" s="18">
        <v>2</v>
      </c>
      <c r="F294" s="14">
        <v>49.99</v>
      </c>
      <c r="G294" s="14">
        <v>99.98</v>
      </c>
      <c r="H294" s="7" t="s">
        <v>941</v>
      </c>
      <c r="I294" s="7" t="s">
        <v>971</v>
      </c>
      <c r="J294" s="7" t="s">
        <v>972</v>
      </c>
      <c r="K294" s="7" t="str">
        <f>HYPERLINK("http://slimages.macys.com/is/image/MCY/13285480 ")</f>
        <v xml:space="preserve">http://slimages.macys.com/is/image/MCY/13285480 </v>
      </c>
    </row>
    <row r="295" spans="1:11" ht="20.100000000000001" customHeight="1" x14ac:dyDescent="0.25">
      <c r="A295" s="12" t="s">
        <v>1362</v>
      </c>
      <c r="B295" s="13">
        <v>13768424</v>
      </c>
      <c r="C295" s="8">
        <v>783048086778</v>
      </c>
      <c r="D295" s="6" t="s">
        <v>818</v>
      </c>
      <c r="E295" s="18">
        <v>1</v>
      </c>
      <c r="F295" s="14">
        <v>179.99</v>
      </c>
      <c r="G295" s="14">
        <v>179.99</v>
      </c>
      <c r="H295" s="7" t="s">
        <v>941</v>
      </c>
      <c r="I295" s="7" t="s">
        <v>947</v>
      </c>
      <c r="J295" s="7" t="s">
        <v>1021</v>
      </c>
      <c r="K295" s="7" t="str">
        <f>HYPERLINK("http://slimages.macys.com/is/image/MCY/13314960 ")</f>
        <v xml:space="preserve">http://slimages.macys.com/is/image/MCY/13314960 </v>
      </c>
    </row>
    <row r="296" spans="1:11" ht="20.100000000000001" customHeight="1" x14ac:dyDescent="0.25">
      <c r="A296" s="12" t="s">
        <v>1362</v>
      </c>
      <c r="B296" s="13">
        <v>13768424</v>
      </c>
      <c r="C296" s="8">
        <v>783048109507</v>
      </c>
      <c r="D296" s="6" t="s">
        <v>819</v>
      </c>
      <c r="E296" s="18">
        <v>1</v>
      </c>
      <c r="F296" s="14">
        <v>59.99</v>
      </c>
      <c r="G296" s="14">
        <v>59.99</v>
      </c>
      <c r="H296" s="7" t="s">
        <v>950</v>
      </c>
      <c r="I296" s="7" t="s">
        <v>947</v>
      </c>
      <c r="J296" s="7" t="s">
        <v>1021</v>
      </c>
      <c r="K296" s="7" t="str">
        <f>HYPERLINK("http://slimages.macys.com/is/image/MCY/17294239 ")</f>
        <v xml:space="preserve">http://slimages.macys.com/is/image/MCY/17294239 </v>
      </c>
    </row>
    <row r="297" spans="1:11" ht="20.100000000000001" customHeight="1" x14ac:dyDescent="0.25">
      <c r="A297" s="12" t="s">
        <v>1362</v>
      </c>
      <c r="B297" s="13">
        <v>13768424</v>
      </c>
      <c r="C297" s="8">
        <v>783048110190</v>
      </c>
      <c r="D297" s="6" t="s">
        <v>1389</v>
      </c>
      <c r="E297" s="18">
        <v>1</v>
      </c>
      <c r="F297" s="14">
        <v>66.989999999999995</v>
      </c>
      <c r="G297" s="14">
        <v>66.989999999999995</v>
      </c>
      <c r="H297" s="7" t="s">
        <v>941</v>
      </c>
      <c r="I297" s="7" t="s">
        <v>1033</v>
      </c>
      <c r="J297" s="7" t="s">
        <v>1021</v>
      </c>
      <c r="K297" s="7" t="str">
        <f>HYPERLINK("http://slimages.macys.com/is/image/MCY/14633773 ")</f>
        <v xml:space="preserve">http://slimages.macys.com/is/image/MCY/14633773 </v>
      </c>
    </row>
    <row r="298" spans="1:11" ht="20.100000000000001" customHeight="1" x14ac:dyDescent="0.25">
      <c r="A298" s="12" t="s">
        <v>1362</v>
      </c>
      <c r="B298" s="13">
        <v>13768424</v>
      </c>
      <c r="C298" s="8">
        <v>783048113627</v>
      </c>
      <c r="D298" s="6" t="s">
        <v>1390</v>
      </c>
      <c r="E298" s="18">
        <v>1</v>
      </c>
      <c r="F298" s="14">
        <v>69.989999999999995</v>
      </c>
      <c r="G298" s="14">
        <v>69.989999999999995</v>
      </c>
      <c r="H298" s="7" t="s">
        <v>1095</v>
      </c>
      <c r="I298" s="7" t="s">
        <v>945</v>
      </c>
      <c r="J298" s="7" t="s">
        <v>1021</v>
      </c>
      <c r="K298" s="7" t="str">
        <f>HYPERLINK("http://slimages.macys.com/is/image/MCY/15820714 ")</f>
        <v xml:space="preserve">http://slimages.macys.com/is/image/MCY/15820714 </v>
      </c>
    </row>
    <row r="299" spans="1:11" ht="20.100000000000001" customHeight="1" x14ac:dyDescent="0.25">
      <c r="A299" s="12" t="s">
        <v>1362</v>
      </c>
      <c r="B299" s="13">
        <v>13768424</v>
      </c>
      <c r="C299" s="8">
        <v>783048113689</v>
      </c>
      <c r="D299" s="6" t="s">
        <v>820</v>
      </c>
      <c r="E299" s="18">
        <v>1</v>
      </c>
      <c r="F299" s="14">
        <v>69.989999999999995</v>
      </c>
      <c r="G299" s="14">
        <v>69.989999999999995</v>
      </c>
      <c r="H299" s="7" t="s">
        <v>991</v>
      </c>
      <c r="I299" s="7" t="s">
        <v>945</v>
      </c>
      <c r="J299" s="7" t="s">
        <v>1021</v>
      </c>
      <c r="K299" s="7" t="str">
        <f>HYPERLINK("http://slimages.macys.com/is/image/MCY/15820714 ")</f>
        <v xml:space="preserve">http://slimages.macys.com/is/image/MCY/15820714 </v>
      </c>
    </row>
    <row r="300" spans="1:11" ht="20.100000000000001" customHeight="1" x14ac:dyDescent="0.25">
      <c r="A300" s="12" t="s">
        <v>1362</v>
      </c>
      <c r="B300" s="13">
        <v>13768424</v>
      </c>
      <c r="C300" s="8">
        <v>783048154170</v>
      </c>
      <c r="D300" s="6" t="s">
        <v>821</v>
      </c>
      <c r="E300" s="18">
        <v>1</v>
      </c>
      <c r="F300" s="14">
        <v>29.99</v>
      </c>
      <c r="G300" s="14">
        <v>29.99</v>
      </c>
      <c r="H300" s="7"/>
      <c r="I300" s="7" t="s">
        <v>945</v>
      </c>
      <c r="J300" s="7" t="s">
        <v>1021</v>
      </c>
      <c r="K300" s="7" t="str">
        <f>HYPERLINK("http://slimages.macys.com/is/image/MCY/18717084 ")</f>
        <v xml:space="preserve">http://slimages.macys.com/is/image/MCY/18717084 </v>
      </c>
    </row>
    <row r="301" spans="1:11" ht="20.100000000000001" customHeight="1" x14ac:dyDescent="0.25">
      <c r="A301" s="12" t="s">
        <v>1362</v>
      </c>
      <c r="B301" s="13">
        <v>13768424</v>
      </c>
      <c r="C301" s="8">
        <v>784008134775</v>
      </c>
      <c r="D301" s="6" t="s">
        <v>822</v>
      </c>
      <c r="E301" s="18">
        <v>8</v>
      </c>
      <c r="F301" s="14">
        <v>70.989999999999995</v>
      </c>
      <c r="G301" s="14">
        <v>567.91999999999996</v>
      </c>
      <c r="H301" s="7" t="s">
        <v>950</v>
      </c>
      <c r="I301" s="7" t="s">
        <v>942</v>
      </c>
      <c r="J301" s="7" t="s">
        <v>943</v>
      </c>
      <c r="K301" s="7" t="str">
        <f>HYPERLINK("http://slimages.macys.com/is/image/MCY/11798920 ")</f>
        <v xml:space="preserve">http://slimages.macys.com/is/image/MCY/11798920 </v>
      </c>
    </row>
    <row r="302" spans="1:11" ht="20.100000000000001" customHeight="1" x14ac:dyDescent="0.25">
      <c r="A302" s="12" t="s">
        <v>1362</v>
      </c>
      <c r="B302" s="13">
        <v>13768424</v>
      </c>
      <c r="C302" s="8">
        <v>784851506903</v>
      </c>
      <c r="D302" s="6" t="s">
        <v>823</v>
      </c>
      <c r="E302" s="18">
        <v>1</v>
      </c>
      <c r="F302" s="14">
        <v>53.99</v>
      </c>
      <c r="G302" s="14">
        <v>53.99</v>
      </c>
      <c r="H302" s="7" t="s">
        <v>988</v>
      </c>
      <c r="I302" s="7" t="s">
        <v>939</v>
      </c>
      <c r="J302" s="7" t="s">
        <v>1213</v>
      </c>
      <c r="K302" s="7" t="str">
        <f>HYPERLINK("http://slimages.macys.com/is/image/MCY/12902077 ")</f>
        <v xml:space="preserve">http://slimages.macys.com/is/image/MCY/12902077 </v>
      </c>
    </row>
    <row r="303" spans="1:11" ht="20.100000000000001" customHeight="1" x14ac:dyDescent="0.25">
      <c r="A303" s="12" t="s">
        <v>1362</v>
      </c>
      <c r="B303" s="13">
        <v>13768424</v>
      </c>
      <c r="C303" s="8">
        <v>786696099169</v>
      </c>
      <c r="D303" s="6" t="s">
        <v>824</v>
      </c>
      <c r="E303" s="18">
        <v>1</v>
      </c>
      <c r="F303" s="14">
        <v>37.99</v>
      </c>
      <c r="G303" s="14">
        <v>37.99</v>
      </c>
      <c r="H303" s="7" t="s">
        <v>981</v>
      </c>
      <c r="I303" s="7" t="s">
        <v>958</v>
      </c>
      <c r="J303" s="7" t="s">
        <v>448</v>
      </c>
      <c r="K303" s="7" t="str">
        <f>HYPERLINK("http://slimages.macys.com/is/image/MCY/15369093 ")</f>
        <v xml:space="preserve">http://slimages.macys.com/is/image/MCY/15369093 </v>
      </c>
    </row>
    <row r="304" spans="1:11" ht="20.100000000000001" customHeight="1" x14ac:dyDescent="0.25">
      <c r="A304" s="12" t="s">
        <v>1362</v>
      </c>
      <c r="B304" s="13">
        <v>13768424</v>
      </c>
      <c r="C304" s="8">
        <v>788904113346</v>
      </c>
      <c r="D304" s="6" t="s">
        <v>1392</v>
      </c>
      <c r="E304" s="18">
        <v>2</v>
      </c>
      <c r="F304" s="14">
        <v>44.99</v>
      </c>
      <c r="G304" s="14">
        <v>89.98</v>
      </c>
      <c r="H304" s="7" t="s">
        <v>941</v>
      </c>
      <c r="I304" s="7" t="s">
        <v>961</v>
      </c>
      <c r="J304" s="7" t="s">
        <v>962</v>
      </c>
      <c r="K304" s="7" t="str">
        <f>HYPERLINK("http://slimages.macys.com/is/image/MCY/9873929 ")</f>
        <v xml:space="preserve">http://slimages.macys.com/is/image/MCY/9873929 </v>
      </c>
    </row>
    <row r="305" spans="1:11" ht="20.100000000000001" customHeight="1" x14ac:dyDescent="0.25">
      <c r="A305" s="12" t="s">
        <v>1362</v>
      </c>
      <c r="B305" s="13">
        <v>13768424</v>
      </c>
      <c r="C305" s="8">
        <v>788904113353</v>
      </c>
      <c r="D305" s="6" t="s">
        <v>960</v>
      </c>
      <c r="E305" s="18">
        <v>1</v>
      </c>
      <c r="F305" s="14">
        <v>49.99</v>
      </c>
      <c r="G305" s="14">
        <v>49.99</v>
      </c>
      <c r="H305" s="7" t="s">
        <v>941</v>
      </c>
      <c r="I305" s="7" t="s">
        <v>961</v>
      </c>
      <c r="J305" s="7" t="s">
        <v>962</v>
      </c>
      <c r="K305" s="7" t="str">
        <f>HYPERLINK("http://slimages.macys.com/is/image/MCY/9873929 ")</f>
        <v xml:space="preserve">http://slimages.macys.com/is/image/MCY/9873929 </v>
      </c>
    </row>
    <row r="306" spans="1:11" ht="20.100000000000001" customHeight="1" x14ac:dyDescent="0.25">
      <c r="A306" s="12" t="s">
        <v>1362</v>
      </c>
      <c r="B306" s="13">
        <v>13768424</v>
      </c>
      <c r="C306" s="8">
        <v>788904130091</v>
      </c>
      <c r="D306" s="6" t="s">
        <v>1020</v>
      </c>
      <c r="E306" s="18">
        <v>1</v>
      </c>
      <c r="F306" s="14">
        <v>39.99</v>
      </c>
      <c r="G306" s="14">
        <v>39.99</v>
      </c>
      <c r="H306" s="7" t="s">
        <v>941</v>
      </c>
      <c r="I306" s="7" t="s">
        <v>961</v>
      </c>
      <c r="J306" s="7" t="s">
        <v>962</v>
      </c>
      <c r="K306" s="7" t="str">
        <f>HYPERLINK("http://slimages.macys.com/is/image/MCY/3895749 ")</f>
        <v xml:space="preserve">http://slimages.macys.com/is/image/MCY/3895749 </v>
      </c>
    </row>
    <row r="307" spans="1:11" ht="20.100000000000001" customHeight="1" x14ac:dyDescent="0.25">
      <c r="A307" s="12" t="s">
        <v>1362</v>
      </c>
      <c r="B307" s="13">
        <v>13768424</v>
      </c>
      <c r="C307" s="8">
        <v>788904130664</v>
      </c>
      <c r="D307" s="6" t="s">
        <v>1200</v>
      </c>
      <c r="E307" s="18">
        <v>1</v>
      </c>
      <c r="F307" s="14">
        <v>39.99</v>
      </c>
      <c r="G307" s="14">
        <v>39.99</v>
      </c>
      <c r="H307" s="7" t="s">
        <v>941</v>
      </c>
      <c r="I307" s="7" t="s">
        <v>961</v>
      </c>
      <c r="J307" s="7" t="s">
        <v>962</v>
      </c>
      <c r="K307" s="7" t="str">
        <f>HYPERLINK("http://slimages.macys.com/is/image/MCY/3895749 ")</f>
        <v xml:space="preserve">http://slimages.macys.com/is/image/MCY/3895749 </v>
      </c>
    </row>
    <row r="308" spans="1:11" ht="20.100000000000001" customHeight="1" x14ac:dyDescent="0.25">
      <c r="A308" s="12" t="s">
        <v>1362</v>
      </c>
      <c r="B308" s="13">
        <v>13768424</v>
      </c>
      <c r="C308" s="8">
        <v>791551410249</v>
      </c>
      <c r="D308" s="6" t="s">
        <v>825</v>
      </c>
      <c r="E308" s="18">
        <v>1</v>
      </c>
      <c r="F308" s="14">
        <v>23.99</v>
      </c>
      <c r="G308" s="14">
        <v>23.99</v>
      </c>
      <c r="H308" s="7" t="s">
        <v>968</v>
      </c>
      <c r="I308" s="7" t="s">
        <v>947</v>
      </c>
      <c r="J308" s="7" t="s">
        <v>1203</v>
      </c>
      <c r="K308" s="7" t="str">
        <f>HYPERLINK("http://slimages.macys.com/is/image/MCY/9701219 ")</f>
        <v xml:space="preserve">http://slimages.macys.com/is/image/MCY/9701219 </v>
      </c>
    </row>
    <row r="309" spans="1:11" ht="20.100000000000001" customHeight="1" x14ac:dyDescent="0.25">
      <c r="A309" s="12" t="s">
        <v>1362</v>
      </c>
      <c r="B309" s="13">
        <v>13768424</v>
      </c>
      <c r="C309" s="8">
        <v>791551525721</v>
      </c>
      <c r="D309" s="6" t="s">
        <v>826</v>
      </c>
      <c r="E309" s="18">
        <v>1</v>
      </c>
      <c r="F309" s="14">
        <v>29.99</v>
      </c>
      <c r="G309" s="14">
        <v>29.99</v>
      </c>
      <c r="H309" s="7" t="s">
        <v>941</v>
      </c>
      <c r="I309" s="7" t="s">
        <v>1017</v>
      </c>
      <c r="J309" s="7" t="s">
        <v>1203</v>
      </c>
      <c r="K309" s="7" t="str">
        <f>HYPERLINK("http://slimages.macys.com/is/image/MCY/8589764 ")</f>
        <v xml:space="preserve">http://slimages.macys.com/is/image/MCY/8589764 </v>
      </c>
    </row>
    <row r="310" spans="1:11" ht="20.100000000000001" customHeight="1" x14ac:dyDescent="0.25">
      <c r="A310" s="12" t="s">
        <v>1362</v>
      </c>
      <c r="B310" s="13">
        <v>13768424</v>
      </c>
      <c r="C310" s="8">
        <v>791551525752</v>
      </c>
      <c r="D310" s="6" t="s">
        <v>827</v>
      </c>
      <c r="E310" s="18">
        <v>1</v>
      </c>
      <c r="F310" s="14">
        <v>34.99</v>
      </c>
      <c r="G310" s="14">
        <v>34.99</v>
      </c>
      <c r="H310" s="7" t="s">
        <v>941</v>
      </c>
      <c r="I310" s="7" t="s">
        <v>1017</v>
      </c>
      <c r="J310" s="7" t="s">
        <v>1203</v>
      </c>
      <c r="K310" s="7" t="str">
        <f>HYPERLINK("http://slimages.macys.com/is/image/MCY/8589764 ")</f>
        <v xml:space="preserve">http://slimages.macys.com/is/image/MCY/8589764 </v>
      </c>
    </row>
    <row r="311" spans="1:11" ht="20.100000000000001" customHeight="1" x14ac:dyDescent="0.25">
      <c r="A311" s="12" t="s">
        <v>1362</v>
      </c>
      <c r="B311" s="13">
        <v>13768424</v>
      </c>
      <c r="C311" s="8">
        <v>800298566062</v>
      </c>
      <c r="D311" s="6" t="s">
        <v>828</v>
      </c>
      <c r="E311" s="18">
        <v>1</v>
      </c>
      <c r="F311" s="14">
        <v>26.99</v>
      </c>
      <c r="G311" s="14">
        <v>26.99</v>
      </c>
      <c r="H311" s="7" t="s">
        <v>981</v>
      </c>
      <c r="I311" s="7" t="s">
        <v>947</v>
      </c>
      <c r="J311" s="7" t="s">
        <v>1019</v>
      </c>
      <c r="K311" s="7" t="str">
        <f>HYPERLINK("http://slimages.macys.com/is/image/MCY/8501242 ")</f>
        <v xml:space="preserve">http://slimages.macys.com/is/image/MCY/8501242 </v>
      </c>
    </row>
    <row r="312" spans="1:11" ht="20.100000000000001" customHeight="1" x14ac:dyDescent="0.25">
      <c r="A312" s="12" t="s">
        <v>1362</v>
      </c>
      <c r="B312" s="13">
        <v>13768424</v>
      </c>
      <c r="C312" s="8">
        <v>800298598377</v>
      </c>
      <c r="D312" s="6" t="s">
        <v>829</v>
      </c>
      <c r="E312" s="18">
        <v>1</v>
      </c>
      <c r="F312" s="14">
        <v>49.99</v>
      </c>
      <c r="G312" s="14">
        <v>49.99</v>
      </c>
      <c r="H312" s="7" t="s">
        <v>941</v>
      </c>
      <c r="I312" s="7" t="s">
        <v>999</v>
      </c>
      <c r="J312" s="7" t="s">
        <v>1024</v>
      </c>
      <c r="K312" s="7" t="str">
        <f>HYPERLINK("http://slimages.macys.com/is/image/MCY/9064572 ")</f>
        <v xml:space="preserve">http://slimages.macys.com/is/image/MCY/9064572 </v>
      </c>
    </row>
    <row r="313" spans="1:11" ht="20.100000000000001" customHeight="1" x14ac:dyDescent="0.25">
      <c r="A313" s="12" t="s">
        <v>1362</v>
      </c>
      <c r="B313" s="13">
        <v>13768424</v>
      </c>
      <c r="C313" s="8">
        <v>800298684728</v>
      </c>
      <c r="D313" s="6" t="s">
        <v>830</v>
      </c>
      <c r="E313" s="18">
        <v>2</v>
      </c>
      <c r="F313" s="14">
        <v>249.99</v>
      </c>
      <c r="G313" s="14">
        <v>499.98</v>
      </c>
      <c r="H313" s="7" t="s">
        <v>941</v>
      </c>
      <c r="I313" s="7" t="s">
        <v>999</v>
      </c>
      <c r="J313" s="7" t="s">
        <v>1024</v>
      </c>
      <c r="K313" s="7" t="str">
        <f>HYPERLINK("http://slimages.macys.com/is/image/MCY/15381855 ")</f>
        <v xml:space="preserve">http://slimages.macys.com/is/image/MCY/15381855 </v>
      </c>
    </row>
    <row r="314" spans="1:11" ht="20.100000000000001" customHeight="1" x14ac:dyDescent="0.25">
      <c r="A314" s="12" t="s">
        <v>1362</v>
      </c>
      <c r="B314" s="13">
        <v>13768424</v>
      </c>
      <c r="C314" s="8">
        <v>807709532302</v>
      </c>
      <c r="D314" s="6" t="s">
        <v>831</v>
      </c>
      <c r="E314" s="18">
        <v>2</v>
      </c>
      <c r="F314" s="14">
        <v>47.99</v>
      </c>
      <c r="G314" s="14">
        <v>95.98</v>
      </c>
      <c r="H314" s="7" t="s">
        <v>1052</v>
      </c>
      <c r="I314" s="7" t="s">
        <v>947</v>
      </c>
      <c r="J314" s="7" t="s">
        <v>1349</v>
      </c>
      <c r="K314" s="7" t="str">
        <f>HYPERLINK("http://slimages.macys.com/is/image/MCY/16352372 ")</f>
        <v xml:space="preserve">http://slimages.macys.com/is/image/MCY/16352372 </v>
      </c>
    </row>
    <row r="315" spans="1:11" ht="20.100000000000001" customHeight="1" x14ac:dyDescent="0.25">
      <c r="A315" s="12" t="s">
        <v>1362</v>
      </c>
      <c r="B315" s="13">
        <v>13768424</v>
      </c>
      <c r="C315" s="8">
        <v>809407120522</v>
      </c>
      <c r="D315" s="6" t="s">
        <v>832</v>
      </c>
      <c r="E315" s="18">
        <v>5</v>
      </c>
      <c r="F315" s="14">
        <v>24.99</v>
      </c>
      <c r="G315" s="14">
        <v>124.95</v>
      </c>
      <c r="H315" s="7" t="s">
        <v>941</v>
      </c>
      <c r="I315" s="7" t="s">
        <v>958</v>
      </c>
      <c r="J315" s="7" t="s">
        <v>1114</v>
      </c>
      <c r="K315" s="7" t="str">
        <f>HYPERLINK("http://slimages.macys.com/is/image/MCY/15745787 ")</f>
        <v xml:space="preserve">http://slimages.macys.com/is/image/MCY/15745787 </v>
      </c>
    </row>
    <row r="316" spans="1:11" ht="20.100000000000001" customHeight="1" x14ac:dyDescent="0.25">
      <c r="A316" s="12" t="s">
        <v>1362</v>
      </c>
      <c r="B316" s="13">
        <v>13768424</v>
      </c>
      <c r="C316" s="8">
        <v>810001368371</v>
      </c>
      <c r="D316" s="6" t="s">
        <v>833</v>
      </c>
      <c r="E316" s="18">
        <v>1</v>
      </c>
      <c r="F316" s="14">
        <v>36.99</v>
      </c>
      <c r="G316" s="14">
        <v>36.99</v>
      </c>
      <c r="H316" s="7" t="s">
        <v>997</v>
      </c>
      <c r="I316" s="7" t="s">
        <v>939</v>
      </c>
      <c r="J316" s="7" t="s">
        <v>1192</v>
      </c>
      <c r="K316" s="7" t="str">
        <f>HYPERLINK("http://slimages.macys.com/is/image/MCY/12678588 ")</f>
        <v xml:space="preserve">http://slimages.macys.com/is/image/MCY/12678588 </v>
      </c>
    </row>
    <row r="317" spans="1:11" ht="20.100000000000001" customHeight="1" x14ac:dyDescent="0.25">
      <c r="A317" s="12" t="s">
        <v>1362</v>
      </c>
      <c r="B317" s="13">
        <v>13768424</v>
      </c>
      <c r="C317" s="8">
        <v>810006710571</v>
      </c>
      <c r="D317" s="6" t="s">
        <v>834</v>
      </c>
      <c r="E317" s="18">
        <v>1</v>
      </c>
      <c r="F317" s="14">
        <v>59.99</v>
      </c>
      <c r="G317" s="14">
        <v>59.99</v>
      </c>
      <c r="H317" s="7" t="s">
        <v>938</v>
      </c>
      <c r="I317" s="7" t="s">
        <v>1033</v>
      </c>
      <c r="J317" s="7" t="s">
        <v>1123</v>
      </c>
      <c r="K317" s="7" t="str">
        <f>HYPERLINK("http://slimages.macys.com/is/image/MCY/11883193 ")</f>
        <v xml:space="preserve">http://slimages.macys.com/is/image/MCY/11883193 </v>
      </c>
    </row>
    <row r="318" spans="1:11" ht="20.100000000000001" customHeight="1" x14ac:dyDescent="0.25">
      <c r="A318" s="12" t="s">
        <v>1362</v>
      </c>
      <c r="B318" s="13">
        <v>13768424</v>
      </c>
      <c r="C318" s="8">
        <v>810006713664</v>
      </c>
      <c r="D318" s="6" t="s">
        <v>835</v>
      </c>
      <c r="E318" s="18">
        <v>1</v>
      </c>
      <c r="F318" s="14">
        <v>31.99</v>
      </c>
      <c r="G318" s="14">
        <v>31.99</v>
      </c>
      <c r="H318" s="7" t="s">
        <v>976</v>
      </c>
      <c r="I318" s="7" t="s">
        <v>1033</v>
      </c>
      <c r="J318" s="7" t="s">
        <v>1123</v>
      </c>
      <c r="K318" s="7" t="str">
        <f>HYPERLINK("http://slimages.macys.com/is/image/MCY/10481585 ")</f>
        <v xml:space="preserve">http://slimages.macys.com/is/image/MCY/10481585 </v>
      </c>
    </row>
    <row r="319" spans="1:11" ht="20.100000000000001" customHeight="1" x14ac:dyDescent="0.25">
      <c r="A319" s="12" t="s">
        <v>1362</v>
      </c>
      <c r="B319" s="13">
        <v>13768424</v>
      </c>
      <c r="C319" s="8">
        <v>810012740999</v>
      </c>
      <c r="D319" s="6" t="s">
        <v>836</v>
      </c>
      <c r="E319" s="18">
        <v>1</v>
      </c>
      <c r="F319" s="14">
        <v>73.989999999999995</v>
      </c>
      <c r="G319" s="14">
        <v>73.989999999999995</v>
      </c>
      <c r="H319" s="7" t="s">
        <v>984</v>
      </c>
      <c r="I319" s="7" t="s">
        <v>947</v>
      </c>
      <c r="J319" s="7" t="s">
        <v>1195</v>
      </c>
      <c r="K319" s="7" t="str">
        <f>HYPERLINK("http://slimages.macys.com/is/image/MCY/17188529 ")</f>
        <v xml:space="preserve">http://slimages.macys.com/is/image/MCY/17188529 </v>
      </c>
    </row>
    <row r="320" spans="1:11" ht="20.100000000000001" customHeight="1" x14ac:dyDescent="0.25">
      <c r="A320" s="12" t="s">
        <v>1362</v>
      </c>
      <c r="B320" s="13">
        <v>13768424</v>
      </c>
      <c r="C320" s="8">
        <v>810026172182</v>
      </c>
      <c r="D320" s="6" t="s">
        <v>837</v>
      </c>
      <c r="E320" s="18">
        <v>1</v>
      </c>
      <c r="F320" s="14">
        <v>44.99</v>
      </c>
      <c r="G320" s="14">
        <v>44.99</v>
      </c>
      <c r="H320" s="7" t="s">
        <v>938</v>
      </c>
      <c r="I320" s="7" t="s">
        <v>947</v>
      </c>
      <c r="J320" s="7" t="s">
        <v>980</v>
      </c>
      <c r="K320" s="7" t="str">
        <f>HYPERLINK("http://slimages.macys.com/is/image/MCY/17383896 ")</f>
        <v xml:space="preserve">http://slimages.macys.com/is/image/MCY/17383896 </v>
      </c>
    </row>
    <row r="321" spans="1:11" ht="20.100000000000001" customHeight="1" x14ac:dyDescent="0.25">
      <c r="A321" s="12" t="s">
        <v>1362</v>
      </c>
      <c r="B321" s="13">
        <v>13768424</v>
      </c>
      <c r="C321" s="8">
        <v>810026172212</v>
      </c>
      <c r="D321" s="6" t="s">
        <v>838</v>
      </c>
      <c r="E321" s="18">
        <v>1</v>
      </c>
      <c r="F321" s="14">
        <v>39.99</v>
      </c>
      <c r="G321" s="14">
        <v>39.99</v>
      </c>
      <c r="H321" s="7" t="s">
        <v>938</v>
      </c>
      <c r="I321" s="7" t="s">
        <v>947</v>
      </c>
      <c r="J321" s="7" t="s">
        <v>980</v>
      </c>
      <c r="K321" s="7" t="str">
        <f>HYPERLINK("http://slimages.macys.com/is/image/MCY/17383905 ")</f>
        <v xml:space="preserve">http://slimages.macys.com/is/image/MCY/17383905 </v>
      </c>
    </row>
    <row r="322" spans="1:11" ht="20.100000000000001" customHeight="1" x14ac:dyDescent="0.25">
      <c r="A322" s="12" t="s">
        <v>1362</v>
      </c>
      <c r="B322" s="13">
        <v>13768424</v>
      </c>
      <c r="C322" s="8">
        <v>814080022353</v>
      </c>
      <c r="D322" s="6" t="s">
        <v>839</v>
      </c>
      <c r="E322" s="18">
        <v>1</v>
      </c>
      <c r="F322" s="14">
        <v>43.99</v>
      </c>
      <c r="G322" s="14">
        <v>43.99</v>
      </c>
      <c r="H322" s="7" t="s">
        <v>1001</v>
      </c>
      <c r="I322" s="7" t="s">
        <v>939</v>
      </c>
      <c r="J322" s="7" t="s">
        <v>840</v>
      </c>
      <c r="K322" s="7" t="str">
        <f>HYPERLINK("http://slimages.macys.com/is/image/MCY/12052680 ")</f>
        <v xml:space="preserve">http://slimages.macys.com/is/image/MCY/12052680 </v>
      </c>
    </row>
    <row r="323" spans="1:11" ht="20.100000000000001" customHeight="1" x14ac:dyDescent="0.25">
      <c r="A323" s="12" t="s">
        <v>1362</v>
      </c>
      <c r="B323" s="13">
        <v>13768424</v>
      </c>
      <c r="C323" s="8">
        <v>816402017207</v>
      </c>
      <c r="D323" s="6" t="s">
        <v>841</v>
      </c>
      <c r="E323" s="18">
        <v>1</v>
      </c>
      <c r="F323" s="14">
        <v>99.99</v>
      </c>
      <c r="G323" s="14">
        <v>99.99</v>
      </c>
      <c r="H323" s="7" t="s">
        <v>944</v>
      </c>
      <c r="I323" s="7" t="s">
        <v>947</v>
      </c>
      <c r="J323" s="7" t="s">
        <v>842</v>
      </c>
      <c r="K323" s="7" t="str">
        <f>HYPERLINK("http://slimages.macys.com/is/image/MCY/10328889 ")</f>
        <v xml:space="preserve">http://slimages.macys.com/is/image/MCY/10328889 </v>
      </c>
    </row>
    <row r="324" spans="1:11" ht="20.100000000000001" customHeight="1" x14ac:dyDescent="0.25">
      <c r="A324" s="12" t="s">
        <v>1362</v>
      </c>
      <c r="B324" s="13">
        <v>13768424</v>
      </c>
      <c r="C324" s="8">
        <v>816651025022</v>
      </c>
      <c r="D324" s="6" t="s">
        <v>843</v>
      </c>
      <c r="E324" s="18">
        <v>1</v>
      </c>
      <c r="F324" s="14">
        <v>74.989999999999995</v>
      </c>
      <c r="G324" s="14">
        <v>74.989999999999995</v>
      </c>
      <c r="H324" s="7" t="s">
        <v>976</v>
      </c>
      <c r="I324" s="7" t="s">
        <v>939</v>
      </c>
      <c r="J324" s="7" t="s">
        <v>953</v>
      </c>
      <c r="K324" s="7" t="str">
        <f>HYPERLINK("http://slimages.macys.com/is/image/MCY/10682532 ")</f>
        <v xml:space="preserve">http://slimages.macys.com/is/image/MCY/10682532 </v>
      </c>
    </row>
    <row r="325" spans="1:11" ht="20.100000000000001" customHeight="1" x14ac:dyDescent="0.25">
      <c r="A325" s="12" t="s">
        <v>1362</v>
      </c>
      <c r="B325" s="13">
        <v>13768424</v>
      </c>
      <c r="C325" s="8">
        <v>840037205883</v>
      </c>
      <c r="D325" s="6" t="s">
        <v>844</v>
      </c>
      <c r="E325" s="18">
        <v>1</v>
      </c>
      <c r="F325" s="14">
        <v>29.99</v>
      </c>
      <c r="G325" s="14">
        <v>29.99</v>
      </c>
      <c r="H325" s="7" t="s">
        <v>976</v>
      </c>
      <c r="I325" s="7" t="s">
        <v>958</v>
      </c>
      <c r="J325" s="7" t="s">
        <v>1237</v>
      </c>
      <c r="K325" s="7" t="str">
        <f>HYPERLINK("http://slimages.macys.com/is/image/MCY/18757770 ")</f>
        <v xml:space="preserve">http://slimages.macys.com/is/image/MCY/18757770 </v>
      </c>
    </row>
    <row r="326" spans="1:11" ht="20.100000000000001" customHeight="1" x14ac:dyDescent="0.25">
      <c r="A326" s="12" t="s">
        <v>1362</v>
      </c>
      <c r="B326" s="13">
        <v>13768424</v>
      </c>
      <c r="C326" s="8">
        <v>840069703029</v>
      </c>
      <c r="D326" s="6" t="s">
        <v>845</v>
      </c>
      <c r="E326" s="18">
        <v>1</v>
      </c>
      <c r="F326" s="14">
        <v>103.99</v>
      </c>
      <c r="G326" s="14">
        <v>103.99</v>
      </c>
      <c r="H326" s="7" t="s">
        <v>941</v>
      </c>
      <c r="I326" s="7" t="s">
        <v>942</v>
      </c>
      <c r="J326" s="7" t="s">
        <v>1351</v>
      </c>
      <c r="K326" s="7" t="str">
        <f>HYPERLINK("http://slimages.macys.com/is/image/MCY/18884345 ")</f>
        <v xml:space="preserve">http://slimages.macys.com/is/image/MCY/18884345 </v>
      </c>
    </row>
    <row r="327" spans="1:11" ht="20.100000000000001" customHeight="1" x14ac:dyDescent="0.25">
      <c r="A327" s="12" t="s">
        <v>1362</v>
      </c>
      <c r="B327" s="13">
        <v>13768424</v>
      </c>
      <c r="C327" s="8">
        <v>840073621098</v>
      </c>
      <c r="D327" s="6" t="s">
        <v>846</v>
      </c>
      <c r="E327" s="18">
        <v>1</v>
      </c>
      <c r="F327" s="14">
        <v>45.99</v>
      </c>
      <c r="G327" s="14">
        <v>45.99</v>
      </c>
      <c r="H327" s="7" t="s">
        <v>997</v>
      </c>
      <c r="I327" s="7" t="s">
        <v>939</v>
      </c>
      <c r="J327" s="7" t="s">
        <v>1124</v>
      </c>
      <c r="K327" s="7" t="str">
        <f>HYPERLINK("http://slimages.macys.com/is/image/MCY/16486935 ")</f>
        <v xml:space="preserve">http://slimages.macys.com/is/image/MCY/16486935 </v>
      </c>
    </row>
    <row r="328" spans="1:11" ht="20.100000000000001" customHeight="1" x14ac:dyDescent="0.25">
      <c r="A328" s="12" t="s">
        <v>1362</v>
      </c>
      <c r="B328" s="13">
        <v>13768424</v>
      </c>
      <c r="C328" s="8">
        <v>840073622736</v>
      </c>
      <c r="D328" s="6" t="s">
        <v>847</v>
      </c>
      <c r="E328" s="18">
        <v>1</v>
      </c>
      <c r="F328" s="14">
        <v>37.99</v>
      </c>
      <c r="G328" s="14">
        <v>37.99</v>
      </c>
      <c r="H328" s="7" t="s">
        <v>1126</v>
      </c>
      <c r="I328" s="7" t="s">
        <v>939</v>
      </c>
      <c r="J328" s="7" t="s">
        <v>1124</v>
      </c>
      <c r="K328" s="7" t="str">
        <f>HYPERLINK("http://slimages.macys.com/is/image/MCY/16488400 ")</f>
        <v xml:space="preserve">http://slimages.macys.com/is/image/MCY/16488400 </v>
      </c>
    </row>
    <row r="329" spans="1:11" ht="20.100000000000001" customHeight="1" x14ac:dyDescent="0.25">
      <c r="A329" s="12" t="s">
        <v>1362</v>
      </c>
      <c r="B329" s="13">
        <v>13768424</v>
      </c>
      <c r="C329" s="8">
        <v>840073660349</v>
      </c>
      <c r="D329" s="6" t="s">
        <v>848</v>
      </c>
      <c r="E329" s="18">
        <v>1</v>
      </c>
      <c r="F329" s="14">
        <v>29.99</v>
      </c>
      <c r="G329" s="14">
        <v>29.99</v>
      </c>
      <c r="H329" s="7" t="s">
        <v>941</v>
      </c>
      <c r="I329" s="7" t="s">
        <v>942</v>
      </c>
      <c r="J329" s="7" t="s">
        <v>1124</v>
      </c>
      <c r="K329" s="7" t="str">
        <f>HYPERLINK("http://slimages.macys.com/is/image/MCY/17131881 ")</f>
        <v xml:space="preserve">http://slimages.macys.com/is/image/MCY/17131881 </v>
      </c>
    </row>
    <row r="330" spans="1:11" ht="20.100000000000001" customHeight="1" x14ac:dyDescent="0.25">
      <c r="A330" s="12" t="s">
        <v>1362</v>
      </c>
      <c r="B330" s="13">
        <v>13768424</v>
      </c>
      <c r="C330" s="8">
        <v>842164000737</v>
      </c>
      <c r="D330" s="6" t="s">
        <v>849</v>
      </c>
      <c r="E330" s="18">
        <v>1</v>
      </c>
      <c r="F330" s="14">
        <v>132.99</v>
      </c>
      <c r="G330" s="14">
        <v>132.99</v>
      </c>
      <c r="H330" s="7" t="s">
        <v>941</v>
      </c>
      <c r="I330" s="7" t="s">
        <v>939</v>
      </c>
      <c r="J330" s="7" t="s">
        <v>986</v>
      </c>
      <c r="K330" s="7" t="str">
        <f>HYPERLINK("http://slimages.macys.com/is/image/MCY/8433154 ")</f>
        <v xml:space="preserve">http://slimages.macys.com/is/image/MCY/8433154 </v>
      </c>
    </row>
    <row r="331" spans="1:11" ht="20.100000000000001" customHeight="1" x14ac:dyDescent="0.25">
      <c r="A331" s="12" t="s">
        <v>1362</v>
      </c>
      <c r="B331" s="13">
        <v>13768424</v>
      </c>
      <c r="C331" s="8">
        <v>843669105200</v>
      </c>
      <c r="D331" s="6" t="s">
        <v>850</v>
      </c>
      <c r="E331" s="18">
        <v>3</v>
      </c>
      <c r="F331" s="14">
        <v>35.99</v>
      </c>
      <c r="G331" s="14">
        <v>107.97</v>
      </c>
      <c r="H331" s="7" t="s">
        <v>1051</v>
      </c>
      <c r="I331" s="7" t="s">
        <v>958</v>
      </c>
      <c r="J331" s="7" t="s">
        <v>1103</v>
      </c>
      <c r="K331" s="7" t="str">
        <f>HYPERLINK("http://slimages.macys.com/is/image/MCY/13067135 ")</f>
        <v xml:space="preserve">http://slimages.macys.com/is/image/MCY/13067135 </v>
      </c>
    </row>
    <row r="332" spans="1:11" ht="20.100000000000001" customHeight="1" x14ac:dyDescent="0.25">
      <c r="A332" s="12" t="s">
        <v>1362</v>
      </c>
      <c r="B332" s="13">
        <v>13768424</v>
      </c>
      <c r="C332" s="8">
        <v>844353589511</v>
      </c>
      <c r="D332" s="6" t="s">
        <v>851</v>
      </c>
      <c r="E332" s="18">
        <v>2</v>
      </c>
      <c r="F332" s="14">
        <v>40.99</v>
      </c>
      <c r="G332" s="14">
        <v>81.98</v>
      </c>
      <c r="H332" s="7" t="s">
        <v>950</v>
      </c>
      <c r="I332" s="7" t="s">
        <v>947</v>
      </c>
      <c r="J332" s="7" t="s">
        <v>1071</v>
      </c>
      <c r="K332" s="7" t="str">
        <f>HYPERLINK("http://slimages.macys.com/is/image/MCY/10809013 ")</f>
        <v xml:space="preserve">http://slimages.macys.com/is/image/MCY/10809013 </v>
      </c>
    </row>
    <row r="333" spans="1:11" ht="20.100000000000001" customHeight="1" x14ac:dyDescent="0.25">
      <c r="A333" s="12" t="s">
        <v>1362</v>
      </c>
      <c r="B333" s="13">
        <v>13768424</v>
      </c>
      <c r="C333" s="8">
        <v>844353616118</v>
      </c>
      <c r="D333" s="6" t="s">
        <v>852</v>
      </c>
      <c r="E333" s="18">
        <v>1</v>
      </c>
      <c r="F333" s="14">
        <v>73.989999999999995</v>
      </c>
      <c r="G333" s="14">
        <v>73.989999999999995</v>
      </c>
      <c r="H333" s="7"/>
      <c r="I333" s="7" t="s">
        <v>947</v>
      </c>
      <c r="J333" s="7" t="s">
        <v>1071</v>
      </c>
      <c r="K333" s="7" t="str">
        <f>HYPERLINK("http://slimages.macys.com/is/image/MCY/10809401 ")</f>
        <v xml:space="preserve">http://slimages.macys.com/is/image/MCY/10809401 </v>
      </c>
    </row>
    <row r="334" spans="1:11" ht="20.100000000000001" customHeight="1" x14ac:dyDescent="0.25">
      <c r="A334" s="12" t="s">
        <v>1362</v>
      </c>
      <c r="B334" s="13">
        <v>13768424</v>
      </c>
      <c r="C334" s="8">
        <v>844928036709</v>
      </c>
      <c r="D334" s="6" t="s">
        <v>853</v>
      </c>
      <c r="E334" s="18">
        <v>1</v>
      </c>
      <c r="F334" s="14">
        <v>127.99</v>
      </c>
      <c r="G334" s="14">
        <v>127.99</v>
      </c>
      <c r="H334" s="7" t="s">
        <v>941</v>
      </c>
      <c r="I334" s="7" t="s">
        <v>942</v>
      </c>
      <c r="J334" s="7" t="s">
        <v>1459</v>
      </c>
      <c r="K334" s="7" t="str">
        <f>HYPERLINK("http://slimages.macys.com/is/image/MCY/11532924 ")</f>
        <v xml:space="preserve">http://slimages.macys.com/is/image/MCY/11532924 </v>
      </c>
    </row>
    <row r="335" spans="1:11" ht="20.100000000000001" customHeight="1" x14ac:dyDescent="0.25">
      <c r="A335" s="12" t="s">
        <v>1362</v>
      </c>
      <c r="B335" s="13">
        <v>13768424</v>
      </c>
      <c r="C335" s="8">
        <v>846339047381</v>
      </c>
      <c r="D335" s="6" t="s">
        <v>854</v>
      </c>
      <c r="E335" s="18">
        <v>1</v>
      </c>
      <c r="F335" s="14">
        <v>129.99</v>
      </c>
      <c r="G335" s="14">
        <v>129.99</v>
      </c>
      <c r="H335" s="7" t="s">
        <v>1026</v>
      </c>
      <c r="I335" s="7" t="s">
        <v>966</v>
      </c>
      <c r="J335" s="7" t="s">
        <v>967</v>
      </c>
      <c r="K335" s="7" t="str">
        <f>HYPERLINK("http://slimages.macys.com/is/image/MCY/2815827 ")</f>
        <v xml:space="preserve">http://slimages.macys.com/is/image/MCY/2815827 </v>
      </c>
    </row>
    <row r="336" spans="1:11" ht="20.100000000000001" customHeight="1" x14ac:dyDescent="0.25">
      <c r="A336" s="12" t="s">
        <v>1362</v>
      </c>
      <c r="B336" s="13">
        <v>13768424</v>
      </c>
      <c r="C336" s="8">
        <v>846339063084</v>
      </c>
      <c r="D336" s="6" t="s">
        <v>855</v>
      </c>
      <c r="E336" s="18">
        <v>2</v>
      </c>
      <c r="F336" s="14">
        <v>59.99</v>
      </c>
      <c r="G336" s="14">
        <v>119.98</v>
      </c>
      <c r="H336" s="7" t="s">
        <v>938</v>
      </c>
      <c r="I336" s="7" t="s">
        <v>966</v>
      </c>
      <c r="J336" s="7" t="s">
        <v>967</v>
      </c>
      <c r="K336" s="7" t="str">
        <f>HYPERLINK("http://slimages.macys.com/is/image/MCY/3833749 ")</f>
        <v xml:space="preserve">http://slimages.macys.com/is/image/MCY/3833749 </v>
      </c>
    </row>
    <row r="337" spans="1:11" ht="20.100000000000001" customHeight="1" x14ac:dyDescent="0.25">
      <c r="A337" s="12" t="s">
        <v>1362</v>
      </c>
      <c r="B337" s="13">
        <v>13768424</v>
      </c>
      <c r="C337" s="8">
        <v>846339074806</v>
      </c>
      <c r="D337" s="6" t="s">
        <v>856</v>
      </c>
      <c r="E337" s="18">
        <v>1</v>
      </c>
      <c r="F337" s="14">
        <v>129.99</v>
      </c>
      <c r="G337" s="14">
        <v>129.99</v>
      </c>
      <c r="H337" s="7" t="s">
        <v>952</v>
      </c>
      <c r="I337" s="7" t="s">
        <v>966</v>
      </c>
      <c r="J337" s="7" t="s">
        <v>967</v>
      </c>
      <c r="K337" s="7" t="str">
        <f>HYPERLINK("http://slimages.macys.com/is/image/MCY/8794114 ")</f>
        <v xml:space="preserve">http://slimages.macys.com/is/image/MCY/8794114 </v>
      </c>
    </row>
    <row r="338" spans="1:11" ht="20.100000000000001" customHeight="1" x14ac:dyDescent="0.25">
      <c r="A338" s="12" t="s">
        <v>1362</v>
      </c>
      <c r="B338" s="13">
        <v>13768424</v>
      </c>
      <c r="C338" s="8">
        <v>846339080418</v>
      </c>
      <c r="D338" s="6" t="s">
        <v>857</v>
      </c>
      <c r="E338" s="18">
        <v>1</v>
      </c>
      <c r="F338" s="14">
        <v>299.99</v>
      </c>
      <c r="G338" s="14">
        <v>299.99</v>
      </c>
      <c r="H338" s="7" t="s">
        <v>941</v>
      </c>
      <c r="I338" s="7" t="s">
        <v>966</v>
      </c>
      <c r="J338" s="7" t="s">
        <v>967</v>
      </c>
      <c r="K338" s="7" t="str">
        <f>HYPERLINK("http://slimages.macys.com/is/image/MCY/2567151 ")</f>
        <v xml:space="preserve">http://slimages.macys.com/is/image/MCY/2567151 </v>
      </c>
    </row>
    <row r="339" spans="1:11" ht="20.100000000000001" customHeight="1" x14ac:dyDescent="0.25">
      <c r="A339" s="12" t="s">
        <v>1362</v>
      </c>
      <c r="B339" s="13">
        <v>13768424</v>
      </c>
      <c r="C339" s="8">
        <v>846339092404</v>
      </c>
      <c r="D339" s="6" t="s">
        <v>858</v>
      </c>
      <c r="E339" s="18">
        <v>1</v>
      </c>
      <c r="F339" s="14">
        <v>299.99</v>
      </c>
      <c r="G339" s="14">
        <v>299.99</v>
      </c>
      <c r="H339" s="7" t="s">
        <v>1016</v>
      </c>
      <c r="I339" s="7" t="s">
        <v>966</v>
      </c>
      <c r="J339" s="7" t="s">
        <v>967</v>
      </c>
      <c r="K339" s="7" t="str">
        <f>HYPERLINK("http://slimages.macys.com/is/image/MCY/12937172 ")</f>
        <v xml:space="preserve">http://slimages.macys.com/is/image/MCY/12937172 </v>
      </c>
    </row>
    <row r="340" spans="1:11" ht="20.100000000000001" customHeight="1" x14ac:dyDescent="0.25">
      <c r="A340" s="12" t="s">
        <v>1362</v>
      </c>
      <c r="B340" s="13">
        <v>13768424</v>
      </c>
      <c r="C340" s="8">
        <v>848405049992</v>
      </c>
      <c r="D340" s="6" t="s">
        <v>859</v>
      </c>
      <c r="E340" s="18">
        <v>2</v>
      </c>
      <c r="F340" s="14">
        <v>3.99</v>
      </c>
      <c r="G340" s="14">
        <v>7.98</v>
      </c>
      <c r="H340" s="7" t="s">
        <v>1095</v>
      </c>
      <c r="I340" s="7" t="s">
        <v>1033</v>
      </c>
      <c r="J340" s="7" t="s">
        <v>1061</v>
      </c>
      <c r="K340" s="7" t="str">
        <f>HYPERLINK("http://slimages.macys.com/is/image/MCY/18576099 ")</f>
        <v xml:space="preserve">http://slimages.macys.com/is/image/MCY/18576099 </v>
      </c>
    </row>
    <row r="341" spans="1:11" ht="20.100000000000001" customHeight="1" x14ac:dyDescent="0.25">
      <c r="A341" s="12" t="s">
        <v>1362</v>
      </c>
      <c r="B341" s="13">
        <v>13768424</v>
      </c>
      <c r="C341" s="8">
        <v>849709017540</v>
      </c>
      <c r="D341" s="6" t="s">
        <v>860</v>
      </c>
      <c r="E341" s="18">
        <v>2</v>
      </c>
      <c r="F341" s="14">
        <v>55.99</v>
      </c>
      <c r="G341" s="14">
        <v>111.98</v>
      </c>
      <c r="H341" s="7" t="s">
        <v>1005</v>
      </c>
      <c r="I341" s="7" t="s">
        <v>1033</v>
      </c>
      <c r="J341" s="7" t="s">
        <v>1395</v>
      </c>
      <c r="K341" s="7" t="str">
        <f>HYPERLINK("http://slimages.macys.com/is/image/MCY/13917919 ")</f>
        <v xml:space="preserve">http://slimages.macys.com/is/image/MCY/13917919 </v>
      </c>
    </row>
    <row r="342" spans="1:11" ht="20.100000000000001" customHeight="1" x14ac:dyDescent="0.25">
      <c r="A342" s="12" t="s">
        <v>1362</v>
      </c>
      <c r="B342" s="13">
        <v>13768424</v>
      </c>
      <c r="C342" s="8">
        <v>850001843690</v>
      </c>
      <c r="D342" s="6" t="s">
        <v>861</v>
      </c>
      <c r="E342" s="18">
        <v>1</v>
      </c>
      <c r="F342" s="14">
        <v>130.99</v>
      </c>
      <c r="G342" s="14">
        <v>130.99</v>
      </c>
      <c r="H342" s="7" t="s">
        <v>938</v>
      </c>
      <c r="I342" s="7" t="s">
        <v>945</v>
      </c>
      <c r="J342" s="7" t="s">
        <v>1396</v>
      </c>
      <c r="K342" s="7" t="str">
        <f>HYPERLINK("http://slimages.macys.com/is/image/MCY/16975659 ")</f>
        <v xml:space="preserve">http://slimages.macys.com/is/image/MCY/16975659 </v>
      </c>
    </row>
    <row r="343" spans="1:11" ht="20.100000000000001" customHeight="1" x14ac:dyDescent="0.25">
      <c r="A343" s="12" t="s">
        <v>1362</v>
      </c>
      <c r="B343" s="13">
        <v>13768424</v>
      </c>
      <c r="C343" s="8">
        <v>850009689054</v>
      </c>
      <c r="D343" s="6" t="s">
        <v>862</v>
      </c>
      <c r="E343" s="18">
        <v>1</v>
      </c>
      <c r="F343" s="14">
        <v>119.99</v>
      </c>
      <c r="G343" s="14">
        <v>119.99</v>
      </c>
      <c r="H343" s="7" t="s">
        <v>1082</v>
      </c>
      <c r="I343" s="7" t="s">
        <v>939</v>
      </c>
      <c r="J343" s="7" t="s">
        <v>863</v>
      </c>
      <c r="K343" s="7" t="str">
        <f>HYPERLINK("http://slimages.macys.com/is/image/MCY/14830826 ")</f>
        <v xml:space="preserve">http://slimages.macys.com/is/image/MCY/14830826 </v>
      </c>
    </row>
    <row r="344" spans="1:11" ht="20.100000000000001" customHeight="1" x14ac:dyDescent="0.25">
      <c r="A344" s="12" t="s">
        <v>1362</v>
      </c>
      <c r="B344" s="13">
        <v>13768424</v>
      </c>
      <c r="C344" s="8">
        <v>854130004625</v>
      </c>
      <c r="D344" s="6" t="s">
        <v>1093</v>
      </c>
      <c r="E344" s="18">
        <v>1</v>
      </c>
      <c r="F344" s="14">
        <v>15.99</v>
      </c>
      <c r="G344" s="14">
        <v>15.99</v>
      </c>
      <c r="H344" s="7" t="s">
        <v>1036</v>
      </c>
      <c r="I344" s="7" t="s">
        <v>939</v>
      </c>
      <c r="J344" s="7" t="s">
        <v>1094</v>
      </c>
      <c r="K344" s="7" t="str">
        <f>HYPERLINK("http://slimages.macys.com/is/image/MCY/13057621 ")</f>
        <v xml:space="preserve">http://slimages.macys.com/is/image/MCY/13057621 </v>
      </c>
    </row>
    <row r="345" spans="1:11" ht="20.100000000000001" customHeight="1" x14ac:dyDescent="0.25">
      <c r="A345" s="12" t="s">
        <v>1362</v>
      </c>
      <c r="B345" s="13">
        <v>13768424</v>
      </c>
      <c r="C345" s="8">
        <v>856693004708</v>
      </c>
      <c r="D345" s="6" t="s">
        <v>864</v>
      </c>
      <c r="E345" s="18">
        <v>1</v>
      </c>
      <c r="F345" s="14">
        <v>12.99</v>
      </c>
      <c r="G345" s="14">
        <v>12.99</v>
      </c>
      <c r="H345" s="7" t="s">
        <v>941</v>
      </c>
      <c r="I345" s="7" t="s">
        <v>942</v>
      </c>
      <c r="J345" s="7" t="s">
        <v>1143</v>
      </c>
      <c r="K345" s="7" t="str">
        <f>HYPERLINK("http://slimages.macys.com/is/image/MCY/17030275 ")</f>
        <v xml:space="preserve">http://slimages.macys.com/is/image/MCY/17030275 </v>
      </c>
    </row>
    <row r="346" spans="1:11" ht="20.100000000000001" customHeight="1" x14ac:dyDescent="0.25">
      <c r="A346" s="12" t="s">
        <v>1362</v>
      </c>
      <c r="B346" s="13">
        <v>13768424</v>
      </c>
      <c r="C346" s="8">
        <v>857525008154</v>
      </c>
      <c r="D346" s="6" t="s">
        <v>865</v>
      </c>
      <c r="E346" s="18">
        <v>2</v>
      </c>
      <c r="F346" s="14">
        <v>219.99</v>
      </c>
      <c r="G346" s="14">
        <v>439.98</v>
      </c>
      <c r="H346" s="7" t="s">
        <v>950</v>
      </c>
      <c r="I346" s="7" t="s">
        <v>942</v>
      </c>
      <c r="J346" s="7" t="s">
        <v>1212</v>
      </c>
      <c r="K346" s="7" t="str">
        <f>HYPERLINK("http://slimages.macys.com/is/image/MCY/10036050 ")</f>
        <v xml:space="preserve">http://slimages.macys.com/is/image/MCY/10036050 </v>
      </c>
    </row>
    <row r="347" spans="1:11" ht="20.100000000000001" customHeight="1" x14ac:dyDescent="0.25">
      <c r="A347" s="12" t="s">
        <v>1362</v>
      </c>
      <c r="B347" s="13">
        <v>13768424</v>
      </c>
      <c r="C347" s="8">
        <v>883893377479</v>
      </c>
      <c r="D347" s="6" t="s">
        <v>866</v>
      </c>
      <c r="E347" s="18">
        <v>1</v>
      </c>
      <c r="F347" s="14">
        <v>24.99</v>
      </c>
      <c r="G347" s="14">
        <v>24.99</v>
      </c>
      <c r="H347" s="7" t="s">
        <v>976</v>
      </c>
      <c r="I347" s="7" t="s">
        <v>966</v>
      </c>
      <c r="J347" s="7" t="s">
        <v>1002</v>
      </c>
      <c r="K347" s="7" t="str">
        <f>HYPERLINK("http://slimages.macys.com/is/image/MCY/10276226 ")</f>
        <v xml:space="preserve">http://slimages.macys.com/is/image/MCY/10276226 </v>
      </c>
    </row>
    <row r="348" spans="1:11" ht="20.100000000000001" customHeight="1" x14ac:dyDescent="0.25">
      <c r="A348" s="12" t="s">
        <v>1362</v>
      </c>
      <c r="B348" s="13">
        <v>13768424</v>
      </c>
      <c r="C348" s="8">
        <v>883893435582</v>
      </c>
      <c r="D348" s="6" t="s">
        <v>867</v>
      </c>
      <c r="E348" s="18">
        <v>1</v>
      </c>
      <c r="F348" s="14">
        <v>149.99</v>
      </c>
      <c r="G348" s="14">
        <v>149.99</v>
      </c>
      <c r="H348" s="7" t="s">
        <v>997</v>
      </c>
      <c r="I348" s="7" t="s">
        <v>1003</v>
      </c>
      <c r="J348" s="7" t="s">
        <v>1067</v>
      </c>
      <c r="K348" s="7" t="str">
        <f>HYPERLINK("http://slimages.macys.com/is/image/MCY/15729667 ")</f>
        <v xml:space="preserve">http://slimages.macys.com/is/image/MCY/15729667 </v>
      </c>
    </row>
    <row r="349" spans="1:11" ht="20.100000000000001" customHeight="1" x14ac:dyDescent="0.25">
      <c r="A349" s="12" t="s">
        <v>1362</v>
      </c>
      <c r="B349" s="13">
        <v>13768424</v>
      </c>
      <c r="C349" s="8">
        <v>883893445376</v>
      </c>
      <c r="D349" s="6" t="s">
        <v>868</v>
      </c>
      <c r="E349" s="18">
        <v>1</v>
      </c>
      <c r="F349" s="14">
        <v>39.99</v>
      </c>
      <c r="G349" s="14">
        <v>39.99</v>
      </c>
      <c r="H349" s="7" t="s">
        <v>1001</v>
      </c>
      <c r="I349" s="7" t="s">
        <v>1003</v>
      </c>
      <c r="J349" s="7" t="s">
        <v>1053</v>
      </c>
      <c r="K349" s="7" t="str">
        <f>HYPERLINK("http://slimages.macys.com/is/image/MCY/3808386 ")</f>
        <v xml:space="preserve">http://slimages.macys.com/is/image/MCY/3808386 </v>
      </c>
    </row>
    <row r="350" spans="1:11" ht="20.100000000000001" customHeight="1" x14ac:dyDescent="0.25">
      <c r="A350" s="12" t="s">
        <v>1362</v>
      </c>
      <c r="B350" s="13">
        <v>13768424</v>
      </c>
      <c r="C350" s="8">
        <v>883893463417</v>
      </c>
      <c r="D350" s="6" t="s">
        <v>869</v>
      </c>
      <c r="E350" s="18">
        <v>2</v>
      </c>
      <c r="F350" s="14">
        <v>129.99</v>
      </c>
      <c r="G350" s="14">
        <v>259.98</v>
      </c>
      <c r="H350" s="7" t="s">
        <v>941</v>
      </c>
      <c r="I350" s="7" t="s">
        <v>966</v>
      </c>
      <c r="J350" s="7" t="s">
        <v>1164</v>
      </c>
      <c r="K350" s="7" t="str">
        <f>HYPERLINK("http://slimages.macys.com/is/image/MCY/15613596 ")</f>
        <v xml:space="preserve">http://slimages.macys.com/is/image/MCY/15613596 </v>
      </c>
    </row>
    <row r="351" spans="1:11" ht="20.100000000000001" customHeight="1" x14ac:dyDescent="0.25">
      <c r="A351" s="12" t="s">
        <v>1362</v>
      </c>
      <c r="B351" s="13">
        <v>13768424</v>
      </c>
      <c r="C351" s="8">
        <v>883893596276</v>
      </c>
      <c r="D351" s="6" t="s">
        <v>870</v>
      </c>
      <c r="E351" s="18">
        <v>1</v>
      </c>
      <c r="F351" s="14">
        <v>119.99</v>
      </c>
      <c r="G351" s="14">
        <v>119.99</v>
      </c>
      <c r="H351" s="7" t="s">
        <v>1054</v>
      </c>
      <c r="I351" s="7" t="s">
        <v>966</v>
      </c>
      <c r="J351" s="7" t="s">
        <v>1064</v>
      </c>
      <c r="K351" s="7" t="str">
        <f>HYPERLINK("http://slimages.macys.com/is/image/MCY/15135380 ")</f>
        <v xml:space="preserve">http://slimages.macys.com/is/image/MCY/15135380 </v>
      </c>
    </row>
    <row r="352" spans="1:11" ht="20.100000000000001" customHeight="1" x14ac:dyDescent="0.25">
      <c r="A352" s="12" t="s">
        <v>1362</v>
      </c>
      <c r="B352" s="13">
        <v>13768424</v>
      </c>
      <c r="C352" s="8">
        <v>883893683587</v>
      </c>
      <c r="D352" s="6" t="s">
        <v>871</v>
      </c>
      <c r="E352" s="18">
        <v>1</v>
      </c>
      <c r="F352" s="14">
        <v>149.99</v>
      </c>
      <c r="G352" s="14">
        <v>149.99</v>
      </c>
      <c r="H352" s="7" t="s">
        <v>941</v>
      </c>
      <c r="I352" s="7" t="s">
        <v>999</v>
      </c>
      <c r="J352" s="7" t="s">
        <v>1096</v>
      </c>
      <c r="K352" s="7" t="str">
        <f>HYPERLINK("http://slimages.macys.com/is/image/MCY/17929781 ")</f>
        <v xml:space="preserve">http://slimages.macys.com/is/image/MCY/17929781 </v>
      </c>
    </row>
    <row r="353" spans="1:11" ht="20.100000000000001" customHeight="1" x14ac:dyDescent="0.25">
      <c r="A353" s="12" t="s">
        <v>1362</v>
      </c>
      <c r="B353" s="13">
        <v>13768424</v>
      </c>
      <c r="C353" s="8">
        <v>883893721685</v>
      </c>
      <c r="D353" s="6" t="s">
        <v>872</v>
      </c>
      <c r="E353" s="18">
        <v>1</v>
      </c>
      <c r="F353" s="14">
        <v>229.99</v>
      </c>
      <c r="G353" s="14">
        <v>229.99</v>
      </c>
      <c r="H353" s="7" t="s">
        <v>941</v>
      </c>
      <c r="I353" s="7" t="s">
        <v>966</v>
      </c>
      <c r="J353" s="7" t="s">
        <v>1002</v>
      </c>
      <c r="K353" s="7" t="str">
        <f>HYPERLINK("http://slimages.macys.com/is/image/MCY/18716154 ")</f>
        <v xml:space="preserve">http://slimages.macys.com/is/image/MCY/18716154 </v>
      </c>
    </row>
    <row r="354" spans="1:11" ht="20.100000000000001" customHeight="1" x14ac:dyDescent="0.25">
      <c r="A354" s="12" t="s">
        <v>1362</v>
      </c>
      <c r="B354" s="13">
        <v>13768424</v>
      </c>
      <c r="C354" s="8">
        <v>885308317001</v>
      </c>
      <c r="D354" s="6" t="s">
        <v>873</v>
      </c>
      <c r="E354" s="18">
        <v>2</v>
      </c>
      <c r="F354" s="14">
        <v>29.99</v>
      </c>
      <c r="G354" s="14">
        <v>59.98</v>
      </c>
      <c r="H354" s="7" t="s">
        <v>1041</v>
      </c>
      <c r="I354" s="7" t="s">
        <v>947</v>
      </c>
      <c r="J354" s="7" t="s">
        <v>1141</v>
      </c>
      <c r="K354" s="7" t="str">
        <f>HYPERLINK("http://slimages.macys.com/is/image/MCY/11543869 ")</f>
        <v xml:space="preserve">http://slimages.macys.com/is/image/MCY/11543869 </v>
      </c>
    </row>
    <row r="355" spans="1:11" ht="20.100000000000001" customHeight="1" x14ac:dyDescent="0.25">
      <c r="A355" s="12" t="s">
        <v>1362</v>
      </c>
      <c r="B355" s="13">
        <v>13768424</v>
      </c>
      <c r="C355" s="8">
        <v>885308393586</v>
      </c>
      <c r="D355" s="6" t="s">
        <v>874</v>
      </c>
      <c r="E355" s="18">
        <v>1</v>
      </c>
      <c r="F355" s="14">
        <v>54.99</v>
      </c>
      <c r="G355" s="14">
        <v>54.99</v>
      </c>
      <c r="H355" s="7" t="s">
        <v>944</v>
      </c>
      <c r="I355" s="7" t="s">
        <v>966</v>
      </c>
      <c r="J355" s="7" t="s">
        <v>875</v>
      </c>
      <c r="K355" s="7" t="str">
        <f>HYPERLINK("http://slimages.macys.com/is/image/MCY/17973931 ")</f>
        <v xml:space="preserve">http://slimages.macys.com/is/image/MCY/17973931 </v>
      </c>
    </row>
    <row r="356" spans="1:11" ht="20.100000000000001" customHeight="1" x14ac:dyDescent="0.25">
      <c r="A356" s="12" t="s">
        <v>1362</v>
      </c>
      <c r="B356" s="13">
        <v>13768424</v>
      </c>
      <c r="C356" s="8">
        <v>887719143019</v>
      </c>
      <c r="D356" s="6" t="s">
        <v>876</v>
      </c>
      <c r="E356" s="18">
        <v>1</v>
      </c>
      <c r="F356" s="14">
        <v>49.99</v>
      </c>
      <c r="G356" s="14">
        <v>49.99</v>
      </c>
      <c r="H356" s="7" t="s">
        <v>981</v>
      </c>
      <c r="I356" s="7" t="s">
        <v>939</v>
      </c>
      <c r="J356" s="7" t="s">
        <v>1114</v>
      </c>
      <c r="K356" s="7" t="str">
        <f>HYPERLINK("http://slimages.macys.com/is/image/MCY/18222689 ")</f>
        <v xml:space="preserve">http://slimages.macys.com/is/image/MCY/18222689 </v>
      </c>
    </row>
    <row r="357" spans="1:11" ht="20.100000000000001" customHeight="1" x14ac:dyDescent="0.25">
      <c r="A357" s="12" t="s">
        <v>1362</v>
      </c>
      <c r="B357" s="13">
        <v>13768424</v>
      </c>
      <c r="C357" s="8">
        <v>6952658834893</v>
      </c>
      <c r="D357" s="6" t="s">
        <v>877</v>
      </c>
      <c r="E357" s="18">
        <v>1</v>
      </c>
      <c r="F357" s="14">
        <v>64.989999999999995</v>
      </c>
      <c r="G357" s="14">
        <v>64.989999999999995</v>
      </c>
      <c r="H357" s="7" t="s">
        <v>1082</v>
      </c>
      <c r="I357" s="7" t="s">
        <v>947</v>
      </c>
      <c r="J357" s="7" t="s">
        <v>549</v>
      </c>
      <c r="K357" s="7" t="str">
        <f>HYPERLINK("http://slimages.macys.com/is/image/MCY/15181374 ")</f>
        <v xml:space="preserve">http://slimages.macys.com/is/image/MCY/15181374 </v>
      </c>
    </row>
    <row r="358" spans="1:11" ht="20.100000000000001" customHeight="1" x14ac:dyDescent="0.25">
      <c r="A358" s="12" t="s">
        <v>1362</v>
      </c>
      <c r="B358" s="13">
        <v>13768424</v>
      </c>
      <c r="C358" s="8">
        <v>191790053670</v>
      </c>
      <c r="D358" s="6" t="s">
        <v>878</v>
      </c>
      <c r="E358" s="18">
        <v>1</v>
      </c>
      <c r="F358" s="14">
        <v>49.99</v>
      </c>
      <c r="G358" s="14">
        <v>49.99</v>
      </c>
      <c r="H358" s="7" t="s">
        <v>944</v>
      </c>
      <c r="I358" s="7" t="s">
        <v>939</v>
      </c>
      <c r="J358" s="7" t="s">
        <v>986</v>
      </c>
      <c r="K358" s="7"/>
    </row>
    <row r="359" spans="1:11" ht="20.100000000000001" customHeight="1" x14ac:dyDescent="0.25">
      <c r="A359" s="12" t="s">
        <v>1362</v>
      </c>
      <c r="B359" s="13">
        <v>13768424</v>
      </c>
      <c r="C359" s="8">
        <v>96675300521</v>
      </c>
      <c r="D359" s="6" t="s">
        <v>879</v>
      </c>
      <c r="E359" s="18">
        <v>2</v>
      </c>
      <c r="F359" s="14">
        <v>59.99</v>
      </c>
      <c r="G359" s="14">
        <v>119.98</v>
      </c>
      <c r="H359" s="7" t="s">
        <v>941</v>
      </c>
      <c r="I359" s="7" t="s">
        <v>942</v>
      </c>
      <c r="J359" s="7" t="s">
        <v>1070</v>
      </c>
      <c r="K359" s="7"/>
    </row>
    <row r="360" spans="1:11" ht="20.100000000000001" customHeight="1" x14ac:dyDescent="0.25">
      <c r="A360" s="12" t="s">
        <v>1362</v>
      </c>
      <c r="B360" s="13">
        <v>13768424</v>
      </c>
      <c r="C360" s="8">
        <v>810051070200</v>
      </c>
      <c r="D360" s="6" t="s">
        <v>880</v>
      </c>
      <c r="E360" s="18">
        <v>2</v>
      </c>
      <c r="F360" s="14">
        <v>54.99</v>
      </c>
      <c r="G360" s="14">
        <v>109.98</v>
      </c>
      <c r="H360" s="7" t="s">
        <v>994</v>
      </c>
      <c r="I360" s="7" t="s">
        <v>942</v>
      </c>
      <c r="J360" s="7" t="s">
        <v>1260</v>
      </c>
      <c r="K360" s="7"/>
    </row>
    <row r="361" spans="1:11" ht="20.100000000000001" customHeight="1" x14ac:dyDescent="0.25">
      <c r="A361" s="12" t="s">
        <v>1362</v>
      </c>
      <c r="B361" s="13">
        <v>13768424</v>
      </c>
      <c r="C361" s="8">
        <v>191790054257</v>
      </c>
      <c r="D361" s="6" t="s">
        <v>1441</v>
      </c>
      <c r="E361" s="18">
        <v>1</v>
      </c>
      <c r="F361" s="14">
        <v>49.99</v>
      </c>
      <c r="G361" s="14">
        <v>49.99</v>
      </c>
      <c r="H361" s="7" t="s">
        <v>950</v>
      </c>
      <c r="I361" s="7" t="s">
        <v>939</v>
      </c>
      <c r="J361" s="7" t="s">
        <v>986</v>
      </c>
      <c r="K361" s="7"/>
    </row>
    <row r="362" spans="1:11" ht="20.100000000000001" customHeight="1" x14ac:dyDescent="0.25">
      <c r="A362" s="12" t="s">
        <v>1362</v>
      </c>
      <c r="B362" s="13">
        <v>13768424</v>
      </c>
      <c r="C362" s="8">
        <v>733003938048</v>
      </c>
      <c r="D362" s="6" t="s">
        <v>881</v>
      </c>
      <c r="E362" s="18">
        <v>1</v>
      </c>
      <c r="F362" s="14">
        <v>49.99</v>
      </c>
      <c r="G362" s="14">
        <v>49.99</v>
      </c>
      <c r="H362" s="7" t="s">
        <v>941</v>
      </c>
      <c r="I362" s="7" t="s">
        <v>1080</v>
      </c>
      <c r="J362" s="7" t="s">
        <v>1081</v>
      </c>
      <c r="K362" s="7"/>
    </row>
    <row r="363" spans="1:11" ht="20.100000000000001" customHeight="1" x14ac:dyDescent="0.25">
      <c r="A363" s="12" t="s">
        <v>1362</v>
      </c>
      <c r="B363" s="13">
        <v>13768424</v>
      </c>
      <c r="C363" s="8">
        <v>733003940058</v>
      </c>
      <c r="D363" s="6" t="s">
        <v>1399</v>
      </c>
      <c r="E363" s="18">
        <v>1</v>
      </c>
      <c r="F363" s="14">
        <v>99.99</v>
      </c>
      <c r="G363" s="14">
        <v>99.99</v>
      </c>
      <c r="H363" s="7" t="s">
        <v>984</v>
      </c>
      <c r="I363" s="7" t="s">
        <v>1080</v>
      </c>
      <c r="J363" s="7" t="s">
        <v>1117</v>
      </c>
      <c r="K363" s="7"/>
    </row>
    <row r="364" spans="1:11" ht="20.100000000000001" customHeight="1" x14ac:dyDescent="0.25">
      <c r="A364" s="12" t="s">
        <v>1362</v>
      </c>
      <c r="B364" s="13">
        <v>13768424</v>
      </c>
      <c r="C364" s="8">
        <v>883893690363</v>
      </c>
      <c r="D364" s="6" t="s">
        <v>882</v>
      </c>
      <c r="E364" s="18">
        <v>3</v>
      </c>
      <c r="F364" s="14">
        <v>55.99</v>
      </c>
      <c r="G364" s="14">
        <v>167.97</v>
      </c>
      <c r="H364" s="7" t="s">
        <v>950</v>
      </c>
      <c r="I364" s="7" t="s">
        <v>1033</v>
      </c>
      <c r="J364" s="7" t="s">
        <v>1357</v>
      </c>
      <c r="K364" s="7"/>
    </row>
    <row r="365" spans="1:11" ht="20.100000000000001" customHeight="1" x14ac:dyDescent="0.25">
      <c r="A365" s="12" t="s">
        <v>1362</v>
      </c>
      <c r="B365" s="13">
        <v>13768424</v>
      </c>
      <c r="C365" s="8">
        <v>733002798506</v>
      </c>
      <c r="D365" s="6" t="s">
        <v>883</v>
      </c>
      <c r="E365" s="18">
        <v>1</v>
      </c>
      <c r="F365" s="14">
        <v>34.99</v>
      </c>
      <c r="G365" s="14">
        <v>34.99</v>
      </c>
      <c r="H365" s="7" t="s">
        <v>950</v>
      </c>
      <c r="I365" s="7" t="s">
        <v>1097</v>
      </c>
      <c r="J365" s="7" t="s">
        <v>1098</v>
      </c>
      <c r="K365" s="7"/>
    </row>
    <row r="366" spans="1:11" ht="20.100000000000001" customHeight="1" x14ac:dyDescent="0.25">
      <c r="A366" s="12" t="s">
        <v>1362</v>
      </c>
      <c r="B366" s="13">
        <v>13768424</v>
      </c>
      <c r="C366" s="8">
        <v>850011548608</v>
      </c>
      <c r="D366" s="6" t="s">
        <v>560</v>
      </c>
      <c r="E366" s="18">
        <v>1</v>
      </c>
      <c r="F366" s="14">
        <v>49.99</v>
      </c>
      <c r="G366" s="14">
        <v>49.99</v>
      </c>
      <c r="H366" s="7"/>
      <c r="I366" s="7" t="s">
        <v>945</v>
      </c>
      <c r="J366" s="7" t="s">
        <v>1245</v>
      </c>
      <c r="K366" s="7"/>
    </row>
    <row r="367" spans="1:11" ht="20.100000000000001" customHeight="1" x14ac:dyDescent="0.25">
      <c r="A367" s="12" t="s">
        <v>1362</v>
      </c>
      <c r="B367" s="13">
        <v>13768424</v>
      </c>
      <c r="C367" s="8">
        <v>883893731059</v>
      </c>
      <c r="D367" s="6" t="s">
        <v>1285</v>
      </c>
      <c r="E367" s="18">
        <v>1</v>
      </c>
      <c r="F367" s="14">
        <v>229.99</v>
      </c>
      <c r="G367" s="14">
        <v>229.99</v>
      </c>
      <c r="H367" s="7" t="s">
        <v>1001</v>
      </c>
      <c r="I367" s="7" t="s">
        <v>966</v>
      </c>
      <c r="J367" s="7" t="s">
        <v>1164</v>
      </c>
      <c r="K367" s="7"/>
    </row>
    <row r="368" spans="1:11" ht="20.100000000000001" customHeight="1" x14ac:dyDescent="0.25">
      <c r="A368" s="12" t="s">
        <v>1362</v>
      </c>
      <c r="B368" s="13">
        <v>13768424</v>
      </c>
      <c r="C368" s="8">
        <v>733003918668</v>
      </c>
      <c r="D368" s="6" t="s">
        <v>884</v>
      </c>
      <c r="E368" s="18">
        <v>2</v>
      </c>
      <c r="F368" s="14">
        <v>49.99</v>
      </c>
      <c r="G368" s="14">
        <v>99.98</v>
      </c>
      <c r="H368" s="7" t="s">
        <v>944</v>
      </c>
      <c r="I368" s="7" t="s">
        <v>1080</v>
      </c>
      <c r="J368" s="7" t="s">
        <v>1081</v>
      </c>
      <c r="K368" s="7"/>
    </row>
    <row r="369" spans="1:11" ht="20.100000000000001" customHeight="1" x14ac:dyDescent="0.25">
      <c r="A369" s="12" t="s">
        <v>1362</v>
      </c>
      <c r="B369" s="13">
        <v>13768424</v>
      </c>
      <c r="C369" s="8">
        <v>733003049218</v>
      </c>
      <c r="D369" s="6" t="s">
        <v>885</v>
      </c>
      <c r="E369" s="18">
        <v>1</v>
      </c>
      <c r="F369" s="14">
        <v>69.989999999999995</v>
      </c>
      <c r="G369" s="14">
        <v>69.989999999999995</v>
      </c>
      <c r="H369" s="7" t="s">
        <v>950</v>
      </c>
      <c r="I369" s="7" t="s">
        <v>1097</v>
      </c>
      <c r="J369" s="7" t="s">
        <v>1352</v>
      </c>
      <c r="K369" s="7"/>
    </row>
    <row r="370" spans="1:11" ht="20.100000000000001" customHeight="1" x14ac:dyDescent="0.25">
      <c r="A370" s="12" t="s">
        <v>1362</v>
      </c>
      <c r="B370" s="13">
        <v>13768424</v>
      </c>
      <c r="C370" s="8">
        <v>733004597725</v>
      </c>
      <c r="D370" s="6" t="s">
        <v>886</v>
      </c>
      <c r="E370" s="18">
        <v>1</v>
      </c>
      <c r="F370" s="14">
        <v>249.99</v>
      </c>
      <c r="G370" s="14">
        <v>249.99</v>
      </c>
      <c r="H370" s="7" t="s">
        <v>1050</v>
      </c>
      <c r="I370" s="7" t="s">
        <v>956</v>
      </c>
      <c r="J370" s="7" t="s">
        <v>1014</v>
      </c>
      <c r="K370" s="7"/>
    </row>
    <row r="371" spans="1:11" ht="20.100000000000001" customHeight="1" x14ac:dyDescent="0.25">
      <c r="A371" s="12" t="s">
        <v>1362</v>
      </c>
      <c r="B371" s="13">
        <v>13768424</v>
      </c>
      <c r="C371" s="8">
        <v>400013532725</v>
      </c>
      <c r="D371" s="6" t="s">
        <v>993</v>
      </c>
      <c r="E371" s="18">
        <v>5</v>
      </c>
      <c r="F371" s="14">
        <v>40</v>
      </c>
      <c r="G371" s="14">
        <v>200</v>
      </c>
      <c r="H371" s="7" t="s">
        <v>994</v>
      </c>
      <c r="I371" s="7" t="s">
        <v>995</v>
      </c>
      <c r="J371" s="7" t="s">
        <v>996</v>
      </c>
      <c r="K371" s="7"/>
    </row>
    <row r="372" spans="1:11" ht="20.100000000000001" customHeight="1" x14ac:dyDescent="0.25">
      <c r="A372" s="12" t="s">
        <v>1362</v>
      </c>
      <c r="B372" s="13">
        <v>13768424</v>
      </c>
      <c r="C372" s="8">
        <v>400013532725</v>
      </c>
      <c r="D372" s="6" t="s">
        <v>993</v>
      </c>
      <c r="E372" s="18">
        <v>2</v>
      </c>
      <c r="F372" s="14">
        <v>40</v>
      </c>
      <c r="G372" s="14">
        <v>80</v>
      </c>
      <c r="H372" s="7" t="s">
        <v>994</v>
      </c>
      <c r="I372" s="7" t="s">
        <v>995</v>
      </c>
      <c r="J372" s="7" t="s">
        <v>996</v>
      </c>
      <c r="K372" s="7"/>
    </row>
    <row r="373" spans="1:11" ht="20.100000000000001" customHeight="1" x14ac:dyDescent="0.25">
      <c r="A373" s="12" t="s">
        <v>1362</v>
      </c>
      <c r="B373" s="13">
        <v>13768424</v>
      </c>
      <c r="C373" s="8">
        <v>400013532725</v>
      </c>
      <c r="D373" s="6" t="s">
        <v>993</v>
      </c>
      <c r="E373" s="18">
        <v>6</v>
      </c>
      <c r="F373" s="14">
        <v>40</v>
      </c>
      <c r="G373" s="14">
        <v>240</v>
      </c>
      <c r="H373" s="7" t="s">
        <v>994</v>
      </c>
      <c r="I373" s="7" t="s">
        <v>995</v>
      </c>
      <c r="J373" s="7" t="s">
        <v>996</v>
      </c>
      <c r="K373" s="7"/>
    </row>
    <row r="374" spans="1:11" ht="20.100000000000001" customHeight="1" x14ac:dyDescent="0.25">
      <c r="A374" s="12" t="s">
        <v>1362</v>
      </c>
      <c r="B374" s="13">
        <v>13768424</v>
      </c>
      <c r="C374" s="8">
        <v>400013532725</v>
      </c>
      <c r="D374" s="6" t="s">
        <v>993</v>
      </c>
      <c r="E374" s="18">
        <v>4</v>
      </c>
      <c r="F374" s="14">
        <v>40</v>
      </c>
      <c r="G374" s="14">
        <v>160</v>
      </c>
      <c r="H374" s="7" t="s">
        <v>994</v>
      </c>
      <c r="I374" s="7" t="s">
        <v>995</v>
      </c>
      <c r="J374" s="7" t="s">
        <v>996</v>
      </c>
      <c r="K374" s="7"/>
    </row>
    <row r="375" spans="1:11" ht="20.100000000000001" customHeight="1" x14ac:dyDescent="0.25">
      <c r="A375" s="12" t="s">
        <v>1362</v>
      </c>
      <c r="B375" s="13">
        <v>13768424</v>
      </c>
      <c r="C375" s="8">
        <v>400013532725</v>
      </c>
      <c r="D375" s="6" t="s">
        <v>993</v>
      </c>
      <c r="E375" s="18">
        <v>5</v>
      </c>
      <c r="F375" s="14">
        <v>40</v>
      </c>
      <c r="G375" s="14">
        <v>200</v>
      </c>
      <c r="H375" s="7" t="s">
        <v>994</v>
      </c>
      <c r="I375" s="7" t="s">
        <v>995</v>
      </c>
      <c r="J375" s="7" t="s">
        <v>996</v>
      </c>
      <c r="K375" s="7"/>
    </row>
    <row r="376" spans="1:11" ht="20.100000000000001" customHeight="1" x14ac:dyDescent="0.25">
      <c r="A376" s="12" t="s">
        <v>1362</v>
      </c>
      <c r="B376" s="13">
        <v>13768424</v>
      </c>
      <c r="C376" s="8">
        <v>400013532725</v>
      </c>
      <c r="D376" s="6" t="s">
        <v>993</v>
      </c>
      <c r="E376" s="18">
        <v>4</v>
      </c>
      <c r="F376" s="14">
        <v>40</v>
      </c>
      <c r="G376" s="14">
        <v>160</v>
      </c>
      <c r="H376" s="7" t="s">
        <v>994</v>
      </c>
      <c r="I376" s="7" t="s">
        <v>995</v>
      </c>
      <c r="J376" s="7" t="s">
        <v>996</v>
      </c>
      <c r="K376" s="7"/>
    </row>
    <row r="377" spans="1:11" ht="20.100000000000001" customHeight="1" x14ac:dyDescent="0.25">
      <c r="A377" s="12" t="s">
        <v>1362</v>
      </c>
      <c r="B377" s="13">
        <v>13768424</v>
      </c>
      <c r="C377" s="8">
        <v>400013532725</v>
      </c>
      <c r="D377" s="6" t="s">
        <v>993</v>
      </c>
      <c r="E377" s="18">
        <v>1</v>
      </c>
      <c r="F377" s="14">
        <v>40</v>
      </c>
      <c r="G377" s="14">
        <v>40</v>
      </c>
      <c r="H377" s="7" t="s">
        <v>994</v>
      </c>
      <c r="I377" s="7" t="s">
        <v>995</v>
      </c>
      <c r="J377" s="7" t="s">
        <v>996</v>
      </c>
      <c r="K377" s="7"/>
    </row>
    <row r="378" spans="1:11" ht="20.100000000000001" customHeight="1" x14ac:dyDescent="0.25">
      <c r="A378" s="12" t="s">
        <v>1362</v>
      </c>
      <c r="B378" s="13">
        <v>13768424</v>
      </c>
      <c r="C378" s="8">
        <v>55490019216</v>
      </c>
      <c r="D378" s="6" t="s">
        <v>887</v>
      </c>
      <c r="E378" s="18">
        <v>1</v>
      </c>
      <c r="F378" s="14">
        <v>24.99</v>
      </c>
      <c r="G378" s="14">
        <v>24.99</v>
      </c>
      <c r="H378" s="7" t="s">
        <v>941</v>
      </c>
      <c r="I378" s="7" t="s">
        <v>958</v>
      </c>
      <c r="J378" s="7" t="s">
        <v>974</v>
      </c>
      <c r="K378" s="7"/>
    </row>
    <row r="379" spans="1:11" ht="20.100000000000001" customHeight="1" x14ac:dyDescent="0.25">
      <c r="A379" s="12" t="s">
        <v>1362</v>
      </c>
      <c r="B379" s="13">
        <v>13768424</v>
      </c>
      <c r="C379" s="8">
        <v>651896660115</v>
      </c>
      <c r="D379" s="6" t="s">
        <v>888</v>
      </c>
      <c r="E379" s="18">
        <v>1</v>
      </c>
      <c r="F379" s="14">
        <v>24.99</v>
      </c>
      <c r="G379" s="14">
        <v>24.99</v>
      </c>
      <c r="H379" s="7"/>
      <c r="I379" s="7" t="s">
        <v>947</v>
      </c>
      <c r="J379" s="7" t="s">
        <v>1248</v>
      </c>
      <c r="K379" s="7"/>
    </row>
    <row r="380" spans="1:11" ht="20.100000000000001" customHeight="1" x14ac:dyDescent="0.25">
      <c r="A380" s="12" t="s">
        <v>1362</v>
      </c>
      <c r="B380" s="13">
        <v>13768424</v>
      </c>
      <c r="C380" s="8">
        <v>734737686519</v>
      </c>
      <c r="D380" s="6" t="s">
        <v>1335</v>
      </c>
      <c r="E380" s="18">
        <v>1</v>
      </c>
      <c r="F380" s="14">
        <v>49.99</v>
      </c>
      <c r="G380" s="14">
        <v>49.99</v>
      </c>
      <c r="H380" s="7" t="s">
        <v>987</v>
      </c>
      <c r="I380" s="7" t="s">
        <v>945</v>
      </c>
      <c r="J380" s="7" t="s">
        <v>974</v>
      </c>
      <c r="K380" s="7"/>
    </row>
    <row r="381" spans="1:11" ht="20.100000000000001" customHeight="1" x14ac:dyDescent="0.25">
      <c r="A381" s="12" t="s">
        <v>1362</v>
      </c>
      <c r="B381" s="13">
        <v>13768424</v>
      </c>
      <c r="C381" s="8">
        <v>41808949696</v>
      </c>
      <c r="D381" s="6" t="s">
        <v>889</v>
      </c>
      <c r="E381" s="18">
        <v>1</v>
      </c>
      <c r="F381" s="14">
        <v>99.99</v>
      </c>
      <c r="G381" s="14">
        <v>99.99</v>
      </c>
      <c r="H381" s="7" t="s">
        <v>1041</v>
      </c>
      <c r="I381" s="7" t="s">
        <v>999</v>
      </c>
      <c r="J381" s="7" t="s">
        <v>951</v>
      </c>
      <c r="K381" s="7"/>
    </row>
    <row r="382" spans="1:11" ht="20.100000000000001" customHeight="1" x14ac:dyDescent="0.25">
      <c r="A382" s="12" t="s">
        <v>1362</v>
      </c>
      <c r="B382" s="13">
        <v>13768424</v>
      </c>
      <c r="C382" s="8">
        <v>733002095766</v>
      </c>
      <c r="D382" s="6" t="s">
        <v>1286</v>
      </c>
      <c r="E382" s="18">
        <v>1</v>
      </c>
      <c r="F382" s="14">
        <v>59.99</v>
      </c>
      <c r="G382" s="14">
        <v>59.99</v>
      </c>
      <c r="H382" s="7" t="s">
        <v>941</v>
      </c>
      <c r="I382" s="7" t="s">
        <v>956</v>
      </c>
      <c r="J382" s="7" t="s">
        <v>957</v>
      </c>
      <c r="K382" s="7"/>
    </row>
    <row r="383" spans="1:11" ht="20.100000000000001" customHeight="1" x14ac:dyDescent="0.25">
      <c r="A383" s="12" t="s">
        <v>1362</v>
      </c>
      <c r="B383" s="13">
        <v>13768424</v>
      </c>
      <c r="C383" s="8">
        <v>840008357917</v>
      </c>
      <c r="D383" s="6" t="s">
        <v>890</v>
      </c>
      <c r="E383" s="18">
        <v>1</v>
      </c>
      <c r="F383" s="14">
        <v>43.99</v>
      </c>
      <c r="G383" s="14">
        <v>43.99</v>
      </c>
      <c r="H383" s="7" t="s">
        <v>944</v>
      </c>
      <c r="I383" s="7" t="s">
        <v>1017</v>
      </c>
      <c r="J383" s="7" t="s">
        <v>891</v>
      </c>
      <c r="K383" s="7"/>
    </row>
    <row r="384" spans="1:11" ht="20.100000000000001" customHeight="1" x14ac:dyDescent="0.25">
      <c r="A384" s="12" t="s">
        <v>1362</v>
      </c>
      <c r="B384" s="13">
        <v>13768424</v>
      </c>
      <c r="C384" s="8">
        <v>86569385031</v>
      </c>
      <c r="D384" s="6" t="s">
        <v>892</v>
      </c>
      <c r="E384" s="18">
        <v>1</v>
      </c>
      <c r="F384" s="14">
        <v>159.99</v>
      </c>
      <c r="G384" s="14">
        <v>159.99</v>
      </c>
      <c r="H384" s="7" t="s">
        <v>944</v>
      </c>
      <c r="I384" s="7" t="s">
        <v>1003</v>
      </c>
      <c r="J384" s="7" t="s">
        <v>1346</v>
      </c>
      <c r="K384" s="7"/>
    </row>
    <row r="385" spans="1:11" ht="20.100000000000001" customHeight="1" x14ac:dyDescent="0.25">
      <c r="A385" s="12" t="s">
        <v>1362</v>
      </c>
      <c r="B385" s="13">
        <v>13768424</v>
      </c>
      <c r="C385" s="8">
        <v>734737686328</v>
      </c>
      <c r="D385" s="6" t="s">
        <v>1445</v>
      </c>
      <c r="E385" s="18">
        <v>2</v>
      </c>
      <c r="F385" s="14">
        <v>49.99</v>
      </c>
      <c r="G385" s="14">
        <v>99.98</v>
      </c>
      <c r="H385" s="7" t="s">
        <v>984</v>
      </c>
      <c r="I385" s="7" t="s">
        <v>945</v>
      </c>
      <c r="J385" s="7" t="s">
        <v>974</v>
      </c>
      <c r="K385" s="7"/>
    </row>
    <row r="386" spans="1:11" ht="20.100000000000001" customHeight="1" x14ac:dyDescent="0.25">
      <c r="A386" s="12" t="s">
        <v>1362</v>
      </c>
      <c r="B386" s="13">
        <v>13768424</v>
      </c>
      <c r="C386" s="8">
        <v>91116737317</v>
      </c>
      <c r="D386" s="6" t="s">
        <v>1402</v>
      </c>
      <c r="E386" s="18">
        <v>1</v>
      </c>
      <c r="F386" s="14">
        <v>29.99</v>
      </c>
      <c r="G386" s="14">
        <v>29.99</v>
      </c>
      <c r="H386" s="7" t="s">
        <v>1032</v>
      </c>
      <c r="I386" s="7" t="s">
        <v>939</v>
      </c>
      <c r="J386" s="7" t="s">
        <v>1249</v>
      </c>
      <c r="K386" s="7"/>
    </row>
    <row r="387" spans="1:11" ht="20.100000000000001" customHeight="1" x14ac:dyDescent="0.25">
      <c r="A387" s="12" t="s">
        <v>1362</v>
      </c>
      <c r="B387" s="13">
        <v>13768424</v>
      </c>
      <c r="C387" s="8">
        <v>91116737317</v>
      </c>
      <c r="D387" s="6" t="s">
        <v>1402</v>
      </c>
      <c r="E387" s="18">
        <v>2</v>
      </c>
      <c r="F387" s="14">
        <v>29.99</v>
      </c>
      <c r="G387" s="14">
        <v>59.98</v>
      </c>
      <c r="H387" s="7" t="s">
        <v>1032</v>
      </c>
      <c r="I387" s="7" t="s">
        <v>939</v>
      </c>
      <c r="J387" s="7" t="s">
        <v>1249</v>
      </c>
      <c r="K387" s="7"/>
    </row>
    <row r="388" spans="1:11" ht="20.100000000000001" customHeight="1" x14ac:dyDescent="0.25">
      <c r="A388" s="12" t="s">
        <v>1362</v>
      </c>
      <c r="B388" s="13">
        <v>13768424</v>
      </c>
      <c r="C388" s="8">
        <v>733003517083</v>
      </c>
      <c r="D388" s="6" t="s">
        <v>893</v>
      </c>
      <c r="E388" s="18">
        <v>1</v>
      </c>
      <c r="F388" s="14">
        <v>199.99</v>
      </c>
      <c r="G388" s="14">
        <v>199.99</v>
      </c>
      <c r="H388" s="7" t="s">
        <v>941</v>
      </c>
      <c r="I388" s="7" t="s">
        <v>956</v>
      </c>
      <c r="J388" s="7" t="s">
        <v>1107</v>
      </c>
      <c r="K388" s="7"/>
    </row>
    <row r="389" spans="1:11" ht="20.100000000000001" customHeight="1" x14ac:dyDescent="0.25">
      <c r="A389" s="12" t="s">
        <v>1362</v>
      </c>
      <c r="B389" s="13">
        <v>13768424</v>
      </c>
      <c r="C389" s="8">
        <v>733002432738</v>
      </c>
      <c r="D389" s="6" t="s">
        <v>894</v>
      </c>
      <c r="E389" s="18">
        <v>1</v>
      </c>
      <c r="F389" s="14">
        <v>29.99</v>
      </c>
      <c r="G389" s="14">
        <v>29.99</v>
      </c>
      <c r="H389" s="7" t="s">
        <v>950</v>
      </c>
      <c r="I389" s="7" t="s">
        <v>969</v>
      </c>
      <c r="J389" s="7" t="s">
        <v>1233</v>
      </c>
      <c r="K389" s="7"/>
    </row>
    <row r="390" spans="1:11" ht="20.100000000000001" customHeight="1" x14ac:dyDescent="0.25">
      <c r="A390" s="12" t="s">
        <v>1362</v>
      </c>
      <c r="B390" s="13">
        <v>13768424</v>
      </c>
      <c r="C390" s="8">
        <v>191790054141</v>
      </c>
      <c r="D390" s="6" t="s">
        <v>1403</v>
      </c>
      <c r="E390" s="18">
        <v>1</v>
      </c>
      <c r="F390" s="14">
        <v>49.99</v>
      </c>
      <c r="G390" s="14">
        <v>49.99</v>
      </c>
      <c r="H390" s="7" t="s">
        <v>1054</v>
      </c>
      <c r="I390" s="7" t="s">
        <v>939</v>
      </c>
      <c r="J390" s="7" t="s">
        <v>986</v>
      </c>
      <c r="K390" s="7"/>
    </row>
    <row r="391" spans="1:11" ht="20.100000000000001" customHeight="1" x14ac:dyDescent="0.25">
      <c r="A391" s="12" t="s">
        <v>1362</v>
      </c>
      <c r="B391" s="13">
        <v>13768424</v>
      </c>
      <c r="C391" s="8">
        <v>191790054141</v>
      </c>
      <c r="D391" s="6" t="s">
        <v>1403</v>
      </c>
      <c r="E391" s="18">
        <v>1</v>
      </c>
      <c r="F391" s="14">
        <v>49.99</v>
      </c>
      <c r="G391" s="14">
        <v>49.99</v>
      </c>
      <c r="H391" s="7" t="s">
        <v>1054</v>
      </c>
      <c r="I391" s="7" t="s">
        <v>939</v>
      </c>
      <c r="J391" s="7" t="s">
        <v>986</v>
      </c>
      <c r="K391" s="7"/>
    </row>
    <row r="392" spans="1:11" ht="20.100000000000001" customHeight="1" x14ac:dyDescent="0.25">
      <c r="A392" s="12" t="s">
        <v>1362</v>
      </c>
      <c r="B392" s="13">
        <v>13768424</v>
      </c>
      <c r="C392" s="8">
        <v>91116737195</v>
      </c>
      <c r="D392" s="6" t="s">
        <v>895</v>
      </c>
      <c r="E392" s="18">
        <v>1</v>
      </c>
      <c r="F392" s="14">
        <v>29.99</v>
      </c>
      <c r="G392" s="14">
        <v>29.99</v>
      </c>
      <c r="H392" s="7" t="s">
        <v>965</v>
      </c>
      <c r="I392" s="7" t="s">
        <v>939</v>
      </c>
      <c r="J392" s="7" t="s">
        <v>1249</v>
      </c>
      <c r="K392" s="7"/>
    </row>
    <row r="393" spans="1:11" ht="20.100000000000001" customHeight="1" x14ac:dyDescent="0.25">
      <c r="A393" s="12" t="s">
        <v>1362</v>
      </c>
      <c r="B393" s="13">
        <v>13768424</v>
      </c>
      <c r="C393" s="8">
        <v>783048018724</v>
      </c>
      <c r="D393" s="6" t="s">
        <v>896</v>
      </c>
      <c r="E393" s="18">
        <v>1</v>
      </c>
      <c r="F393" s="14">
        <v>49.99</v>
      </c>
      <c r="G393" s="14">
        <v>49.99</v>
      </c>
      <c r="H393" s="7" t="s">
        <v>950</v>
      </c>
      <c r="I393" s="7" t="s">
        <v>958</v>
      </c>
      <c r="J393" s="7" t="s">
        <v>1021</v>
      </c>
      <c r="K393" s="7"/>
    </row>
    <row r="394" spans="1:11" ht="20.100000000000001" customHeight="1" x14ac:dyDescent="0.25">
      <c r="A394" s="12" t="s">
        <v>1362</v>
      </c>
      <c r="B394" s="13">
        <v>13768424</v>
      </c>
      <c r="C394" s="8">
        <v>810006717617</v>
      </c>
      <c r="D394" s="6" t="s">
        <v>897</v>
      </c>
      <c r="E394" s="18">
        <v>1</v>
      </c>
      <c r="F394" s="14">
        <v>73.989999999999995</v>
      </c>
      <c r="G394" s="14">
        <v>73.989999999999995</v>
      </c>
      <c r="H394" s="7" t="s">
        <v>941</v>
      </c>
      <c r="I394" s="7" t="s">
        <v>1033</v>
      </c>
      <c r="J394" s="7" t="s">
        <v>1123</v>
      </c>
      <c r="K394" s="7"/>
    </row>
    <row r="395" spans="1:11" ht="20.100000000000001" customHeight="1" x14ac:dyDescent="0.25">
      <c r="A395" s="12" t="s">
        <v>1362</v>
      </c>
      <c r="B395" s="13">
        <v>13768424</v>
      </c>
      <c r="C395" s="8">
        <v>732999361151</v>
      </c>
      <c r="D395" s="6" t="s">
        <v>898</v>
      </c>
      <c r="E395" s="18">
        <v>1</v>
      </c>
      <c r="F395" s="14">
        <v>149.99</v>
      </c>
      <c r="G395" s="14">
        <v>149.99</v>
      </c>
      <c r="H395" s="7" t="s">
        <v>1068</v>
      </c>
      <c r="I395" s="7" t="s">
        <v>969</v>
      </c>
      <c r="J395" s="7" t="s">
        <v>1035</v>
      </c>
      <c r="K395" s="7"/>
    </row>
    <row r="396" spans="1:11" ht="20.100000000000001" customHeight="1" x14ac:dyDescent="0.25">
      <c r="A396" s="12" t="s">
        <v>1362</v>
      </c>
      <c r="B396" s="13">
        <v>13768424</v>
      </c>
      <c r="C396" s="8">
        <v>810055637157</v>
      </c>
      <c r="D396" s="6" t="s">
        <v>899</v>
      </c>
      <c r="E396" s="18">
        <v>1</v>
      </c>
      <c r="F396" s="14">
        <v>8.99</v>
      </c>
      <c r="G396" s="14">
        <v>8.99</v>
      </c>
      <c r="H396" s="7" t="s">
        <v>965</v>
      </c>
      <c r="I396" s="7" t="s">
        <v>1033</v>
      </c>
      <c r="J396" s="7" t="s">
        <v>1354</v>
      </c>
      <c r="K396" s="7"/>
    </row>
    <row r="397" spans="1:11" ht="20.100000000000001" customHeight="1" x14ac:dyDescent="0.25">
      <c r="A397" s="12" t="s">
        <v>1362</v>
      </c>
      <c r="B397" s="13">
        <v>13768424</v>
      </c>
      <c r="C397" s="8">
        <v>883893688650</v>
      </c>
      <c r="D397" s="6" t="s">
        <v>900</v>
      </c>
      <c r="E397" s="18">
        <v>1</v>
      </c>
      <c r="F397" s="14">
        <v>74.989999999999995</v>
      </c>
      <c r="G397" s="14">
        <v>74.989999999999995</v>
      </c>
      <c r="H397" s="7" t="s">
        <v>944</v>
      </c>
      <c r="I397" s="7" t="s">
        <v>999</v>
      </c>
      <c r="J397" s="7" t="s">
        <v>1096</v>
      </c>
      <c r="K397" s="7"/>
    </row>
    <row r="398" spans="1:11" ht="20.100000000000001" customHeight="1" x14ac:dyDescent="0.25">
      <c r="A398" s="12" t="s">
        <v>1362</v>
      </c>
      <c r="B398" s="13">
        <v>13768424</v>
      </c>
      <c r="C398" s="8">
        <v>733002875597</v>
      </c>
      <c r="D398" s="6" t="s">
        <v>901</v>
      </c>
      <c r="E398" s="18">
        <v>1</v>
      </c>
      <c r="F398" s="14">
        <v>249.99</v>
      </c>
      <c r="G398" s="14">
        <v>249.99</v>
      </c>
      <c r="H398" s="7" t="s">
        <v>944</v>
      </c>
      <c r="I398" s="7" t="s">
        <v>956</v>
      </c>
      <c r="J398" s="7" t="s">
        <v>1028</v>
      </c>
      <c r="K398" s="7"/>
    </row>
    <row r="399" spans="1:11" ht="20.100000000000001" customHeight="1" x14ac:dyDescent="0.25">
      <c r="A399" s="12" t="s">
        <v>1362</v>
      </c>
      <c r="B399" s="13">
        <v>13768424</v>
      </c>
      <c r="C399" s="8">
        <v>733003889913</v>
      </c>
      <c r="D399" s="6" t="s">
        <v>902</v>
      </c>
      <c r="E399" s="18">
        <v>1</v>
      </c>
      <c r="F399" s="14">
        <v>119.99</v>
      </c>
      <c r="G399" s="14">
        <v>119.99</v>
      </c>
      <c r="H399" s="7" t="s">
        <v>1201</v>
      </c>
      <c r="I399" s="7" t="s">
        <v>1332</v>
      </c>
      <c r="J399" s="7" t="s">
        <v>1353</v>
      </c>
      <c r="K399" s="7"/>
    </row>
    <row r="400" spans="1:11" ht="20.100000000000001" customHeight="1" x14ac:dyDescent="0.25">
      <c r="A400" s="12" t="s">
        <v>1362</v>
      </c>
      <c r="B400" s="13">
        <v>13768424</v>
      </c>
      <c r="C400" s="8">
        <v>733003761561</v>
      </c>
      <c r="D400" s="6" t="s">
        <v>592</v>
      </c>
      <c r="E400" s="18">
        <v>1</v>
      </c>
      <c r="F400" s="14">
        <v>29.99</v>
      </c>
      <c r="G400" s="14">
        <v>29.99</v>
      </c>
      <c r="H400" s="7" t="s">
        <v>1050</v>
      </c>
      <c r="I400" s="7" t="s">
        <v>971</v>
      </c>
      <c r="J400" s="7" t="s">
        <v>972</v>
      </c>
      <c r="K400" s="7"/>
    </row>
    <row r="401" spans="1:11" ht="20.100000000000001" customHeight="1" x14ac:dyDescent="0.25">
      <c r="A401" s="12" t="s">
        <v>1362</v>
      </c>
      <c r="B401" s="13">
        <v>13768424</v>
      </c>
      <c r="C401" s="8">
        <v>651896651021</v>
      </c>
      <c r="D401" s="6" t="s">
        <v>903</v>
      </c>
      <c r="E401" s="18">
        <v>1</v>
      </c>
      <c r="F401" s="14">
        <v>14.99</v>
      </c>
      <c r="G401" s="14">
        <v>14.99</v>
      </c>
      <c r="H401" s="7" t="s">
        <v>981</v>
      </c>
      <c r="I401" s="7" t="s">
        <v>947</v>
      </c>
      <c r="J401" s="7" t="s">
        <v>1248</v>
      </c>
      <c r="K401" s="7"/>
    </row>
    <row r="402" spans="1:11" ht="20.100000000000001" customHeight="1" x14ac:dyDescent="0.25">
      <c r="A402" s="12" t="s">
        <v>1362</v>
      </c>
      <c r="B402" s="13">
        <v>13768424</v>
      </c>
      <c r="C402" s="8">
        <v>628961003375</v>
      </c>
      <c r="D402" s="6" t="s">
        <v>904</v>
      </c>
      <c r="E402" s="18">
        <v>1</v>
      </c>
      <c r="F402" s="14">
        <v>89.99</v>
      </c>
      <c r="G402" s="14">
        <v>89.99</v>
      </c>
      <c r="H402" s="7" t="s">
        <v>1025</v>
      </c>
      <c r="I402" s="7" t="s">
        <v>939</v>
      </c>
      <c r="J402" s="7" t="s">
        <v>1150</v>
      </c>
      <c r="K402" s="7"/>
    </row>
    <row r="403" spans="1:11" ht="20.100000000000001" customHeight="1" x14ac:dyDescent="0.25">
      <c r="A403" s="12" t="s">
        <v>1362</v>
      </c>
      <c r="B403" s="13">
        <v>13768424</v>
      </c>
      <c r="C403" s="8">
        <v>733002819683</v>
      </c>
      <c r="D403" s="6" t="s">
        <v>905</v>
      </c>
      <c r="E403" s="18">
        <v>1</v>
      </c>
      <c r="F403" s="14">
        <v>149.99</v>
      </c>
      <c r="G403" s="14">
        <v>149.99</v>
      </c>
      <c r="H403" s="7" t="s">
        <v>1023</v>
      </c>
      <c r="I403" s="7" t="s">
        <v>1097</v>
      </c>
      <c r="J403" s="7" t="s">
        <v>1098</v>
      </c>
      <c r="K403" s="7"/>
    </row>
    <row r="404" spans="1:11" ht="20.100000000000001" customHeight="1" x14ac:dyDescent="0.25">
      <c r="A404" s="12" t="s">
        <v>1362</v>
      </c>
      <c r="B404" s="13">
        <v>13768424</v>
      </c>
      <c r="C404" s="8">
        <v>733003499396</v>
      </c>
      <c r="D404" s="6" t="s">
        <v>906</v>
      </c>
      <c r="E404" s="18">
        <v>1</v>
      </c>
      <c r="F404" s="14">
        <v>99.99</v>
      </c>
      <c r="G404" s="14">
        <v>99.99</v>
      </c>
      <c r="H404" s="7" t="s">
        <v>941</v>
      </c>
      <c r="I404" s="7" t="s">
        <v>1080</v>
      </c>
      <c r="J404" s="7" t="s">
        <v>1117</v>
      </c>
      <c r="K404" s="7"/>
    </row>
    <row r="405" spans="1:11" ht="20.100000000000001" customHeight="1" x14ac:dyDescent="0.25">
      <c r="A405" s="12" t="s">
        <v>1362</v>
      </c>
      <c r="B405" s="13">
        <v>13768424</v>
      </c>
      <c r="C405" s="8">
        <v>733002640683</v>
      </c>
      <c r="D405" s="6" t="s">
        <v>907</v>
      </c>
      <c r="E405" s="18">
        <v>1</v>
      </c>
      <c r="F405" s="14">
        <v>79.989999999999995</v>
      </c>
      <c r="G405" s="14">
        <v>79.989999999999995</v>
      </c>
      <c r="H405" s="7" t="s">
        <v>1068</v>
      </c>
      <c r="I405" s="7" t="s">
        <v>1080</v>
      </c>
      <c r="J405" s="7" t="s">
        <v>1117</v>
      </c>
      <c r="K405" s="7"/>
    </row>
    <row r="406" spans="1:11" ht="20.100000000000001" customHeight="1" x14ac:dyDescent="0.25">
      <c r="A406" s="12" t="s">
        <v>1362</v>
      </c>
      <c r="B406" s="13">
        <v>13768424</v>
      </c>
      <c r="C406" s="8">
        <v>733003658014</v>
      </c>
      <c r="D406" s="6" t="s">
        <v>908</v>
      </c>
      <c r="E406" s="18">
        <v>1</v>
      </c>
      <c r="F406" s="14">
        <v>249.99</v>
      </c>
      <c r="G406" s="14">
        <v>249.99</v>
      </c>
      <c r="H406" s="7" t="s">
        <v>944</v>
      </c>
      <c r="I406" s="7" t="s">
        <v>956</v>
      </c>
      <c r="J406" s="7" t="s">
        <v>1107</v>
      </c>
      <c r="K406" s="7"/>
    </row>
    <row r="407" spans="1:11" ht="20.100000000000001" customHeight="1" x14ac:dyDescent="0.25">
      <c r="A407" s="12" t="s">
        <v>1362</v>
      </c>
      <c r="B407" s="13">
        <v>13768424</v>
      </c>
      <c r="C407" s="8">
        <v>733003473587</v>
      </c>
      <c r="D407" s="6" t="s">
        <v>1407</v>
      </c>
      <c r="E407" s="18">
        <v>1</v>
      </c>
      <c r="F407" s="14">
        <v>19.989999999999998</v>
      </c>
      <c r="G407" s="14">
        <v>19.989999999999998</v>
      </c>
      <c r="H407" s="7" t="s">
        <v>1068</v>
      </c>
      <c r="I407" s="7" t="s">
        <v>1221</v>
      </c>
      <c r="J407" s="7" t="s">
        <v>1172</v>
      </c>
      <c r="K407" s="7"/>
    </row>
    <row r="408" spans="1:11" ht="20.100000000000001" customHeight="1" x14ac:dyDescent="0.25">
      <c r="A408" s="12" t="s">
        <v>1362</v>
      </c>
      <c r="B408" s="13">
        <v>13768424</v>
      </c>
      <c r="C408" s="8">
        <v>733003824198</v>
      </c>
      <c r="D408" s="6" t="s">
        <v>909</v>
      </c>
      <c r="E408" s="18">
        <v>1</v>
      </c>
      <c r="F408" s="14">
        <v>7.99</v>
      </c>
      <c r="G408" s="14">
        <v>7.99</v>
      </c>
      <c r="H408" s="7" t="s">
        <v>952</v>
      </c>
      <c r="I408" s="7" t="s">
        <v>971</v>
      </c>
      <c r="J408" s="7" t="s">
        <v>910</v>
      </c>
      <c r="K408" s="7"/>
    </row>
    <row r="409" spans="1:11" ht="20.100000000000001" customHeight="1" x14ac:dyDescent="0.25">
      <c r="A409" s="12" t="s">
        <v>1362</v>
      </c>
      <c r="B409" s="13">
        <v>13768424</v>
      </c>
      <c r="C409" s="8">
        <v>191790054233</v>
      </c>
      <c r="D409" s="6" t="s">
        <v>1337</v>
      </c>
      <c r="E409" s="18">
        <v>1</v>
      </c>
      <c r="F409" s="14">
        <v>49.99</v>
      </c>
      <c r="G409" s="14">
        <v>49.99</v>
      </c>
      <c r="H409" s="7" t="s">
        <v>1013</v>
      </c>
      <c r="I409" s="7" t="s">
        <v>939</v>
      </c>
      <c r="J409" s="7" t="s">
        <v>986</v>
      </c>
      <c r="K409" s="7"/>
    </row>
    <row r="410" spans="1:11" ht="20.100000000000001" customHeight="1" x14ac:dyDescent="0.25">
      <c r="A410" s="12" t="s">
        <v>1362</v>
      </c>
      <c r="B410" s="13">
        <v>13768424</v>
      </c>
      <c r="C410" s="8">
        <v>733003973353</v>
      </c>
      <c r="D410" s="6" t="s">
        <v>911</v>
      </c>
      <c r="E410" s="18">
        <v>1</v>
      </c>
      <c r="F410" s="14">
        <v>299.99</v>
      </c>
      <c r="G410" s="14">
        <v>299.99</v>
      </c>
      <c r="H410" s="7" t="s">
        <v>1050</v>
      </c>
      <c r="I410" s="7" t="s">
        <v>956</v>
      </c>
      <c r="J410" s="7" t="s">
        <v>1109</v>
      </c>
      <c r="K410" s="7"/>
    </row>
    <row r="411" spans="1:11" ht="20.100000000000001" customHeight="1" x14ac:dyDescent="0.25">
      <c r="A411" s="12" t="s">
        <v>1362</v>
      </c>
      <c r="B411" s="13">
        <v>13768424</v>
      </c>
      <c r="C411" s="8">
        <v>734737691476</v>
      </c>
      <c r="D411" s="6" t="s">
        <v>912</v>
      </c>
      <c r="E411" s="18">
        <v>1</v>
      </c>
      <c r="F411" s="14">
        <v>99.99</v>
      </c>
      <c r="G411" s="14">
        <v>99.99</v>
      </c>
      <c r="H411" s="7" t="s">
        <v>950</v>
      </c>
      <c r="I411" s="7" t="s">
        <v>945</v>
      </c>
      <c r="J411" s="7" t="s">
        <v>974</v>
      </c>
      <c r="K411" s="7"/>
    </row>
    <row r="412" spans="1:11" ht="20.100000000000001" customHeight="1" x14ac:dyDescent="0.25">
      <c r="A412" s="12" t="s">
        <v>1362</v>
      </c>
      <c r="B412" s="13">
        <v>13768424</v>
      </c>
      <c r="C412" s="8">
        <v>86569368300</v>
      </c>
      <c r="D412" s="6" t="s">
        <v>1338</v>
      </c>
      <c r="E412" s="18">
        <v>1</v>
      </c>
      <c r="F412" s="14">
        <v>39.99</v>
      </c>
      <c r="G412" s="14">
        <v>39.99</v>
      </c>
      <c r="H412" s="7" t="s">
        <v>952</v>
      </c>
      <c r="I412" s="7" t="s">
        <v>947</v>
      </c>
      <c r="J412" s="7" t="s">
        <v>955</v>
      </c>
      <c r="K412" s="7"/>
    </row>
    <row r="413" spans="1:11" ht="20.100000000000001" customHeight="1" x14ac:dyDescent="0.25">
      <c r="A413" s="12" t="s">
        <v>1362</v>
      </c>
      <c r="B413" s="13">
        <v>13768424</v>
      </c>
      <c r="C413" s="8">
        <v>91116737232</v>
      </c>
      <c r="D413" s="6" t="s">
        <v>913</v>
      </c>
      <c r="E413" s="18">
        <v>1</v>
      </c>
      <c r="F413" s="14">
        <v>29.99</v>
      </c>
      <c r="G413" s="14">
        <v>29.99</v>
      </c>
      <c r="H413" s="7" t="s">
        <v>1013</v>
      </c>
      <c r="I413" s="7" t="s">
        <v>939</v>
      </c>
      <c r="J413" s="7" t="s">
        <v>1249</v>
      </c>
      <c r="K413" s="7"/>
    </row>
    <row r="414" spans="1:11" ht="20.100000000000001" customHeight="1" x14ac:dyDescent="0.25">
      <c r="A414" s="12" t="s">
        <v>1362</v>
      </c>
      <c r="B414" s="13">
        <v>13768424</v>
      </c>
      <c r="C414" s="8">
        <v>883893739727</v>
      </c>
      <c r="D414" s="6" t="s">
        <v>1339</v>
      </c>
      <c r="E414" s="18">
        <v>1</v>
      </c>
      <c r="F414" s="14">
        <v>179.99</v>
      </c>
      <c r="G414" s="14">
        <v>179.99</v>
      </c>
      <c r="H414" s="7" t="s">
        <v>941</v>
      </c>
      <c r="I414" s="7" t="s">
        <v>999</v>
      </c>
      <c r="J414" s="7" t="s">
        <v>1358</v>
      </c>
      <c r="K414" s="7"/>
    </row>
    <row r="415" spans="1:11" ht="20.100000000000001" customHeight="1" x14ac:dyDescent="0.25">
      <c r="A415" s="12" t="s">
        <v>1362</v>
      </c>
      <c r="B415" s="13">
        <v>13768424</v>
      </c>
      <c r="C415" s="8">
        <v>810012744638</v>
      </c>
      <c r="D415" s="6" t="s">
        <v>914</v>
      </c>
      <c r="E415" s="18">
        <v>1</v>
      </c>
      <c r="F415" s="14">
        <v>31.99</v>
      </c>
      <c r="G415" s="14">
        <v>31.99</v>
      </c>
      <c r="H415" s="7" t="s">
        <v>1001</v>
      </c>
      <c r="I415" s="7" t="s">
        <v>947</v>
      </c>
      <c r="J415" s="7" t="s">
        <v>1195</v>
      </c>
      <c r="K415" s="7"/>
    </row>
    <row r="416" spans="1:11" ht="20.100000000000001" customHeight="1" x14ac:dyDescent="0.25">
      <c r="A416" s="12" t="s">
        <v>1362</v>
      </c>
      <c r="B416" s="13">
        <v>13768424</v>
      </c>
      <c r="C416" s="8">
        <v>733002801183</v>
      </c>
      <c r="D416" s="6" t="s">
        <v>915</v>
      </c>
      <c r="E416" s="18">
        <v>1</v>
      </c>
      <c r="F416" s="14">
        <v>129.99</v>
      </c>
      <c r="G416" s="14">
        <v>129.99</v>
      </c>
      <c r="H416" s="7" t="s">
        <v>991</v>
      </c>
      <c r="I416" s="7" t="s">
        <v>969</v>
      </c>
      <c r="J416" s="7" t="s">
        <v>970</v>
      </c>
      <c r="K416" s="7"/>
    </row>
    <row r="417" spans="1:11" ht="20.100000000000001" customHeight="1" x14ac:dyDescent="0.25">
      <c r="A417" s="12" t="s">
        <v>1362</v>
      </c>
      <c r="B417" s="13">
        <v>13768424</v>
      </c>
      <c r="C417" s="8">
        <v>679610838442</v>
      </c>
      <c r="D417" s="6" t="s">
        <v>916</v>
      </c>
      <c r="E417" s="18">
        <v>2</v>
      </c>
      <c r="F417" s="14">
        <v>99.99</v>
      </c>
      <c r="G417" s="14">
        <v>199.98</v>
      </c>
      <c r="H417" s="7" t="s">
        <v>1054</v>
      </c>
      <c r="I417" s="7" t="s">
        <v>945</v>
      </c>
      <c r="J417" s="7" t="s">
        <v>1055</v>
      </c>
      <c r="K417" s="7"/>
    </row>
    <row r="418" spans="1:11" ht="20.100000000000001" customHeight="1" x14ac:dyDescent="0.25">
      <c r="A418" s="12" t="s">
        <v>1362</v>
      </c>
      <c r="B418" s="13">
        <v>13768424</v>
      </c>
      <c r="C418" s="8">
        <v>628961003399</v>
      </c>
      <c r="D418" s="6" t="s">
        <v>917</v>
      </c>
      <c r="E418" s="18">
        <v>1</v>
      </c>
      <c r="F418" s="14">
        <v>89.99</v>
      </c>
      <c r="G418" s="14">
        <v>89.99</v>
      </c>
      <c r="H418" s="7" t="s">
        <v>994</v>
      </c>
      <c r="I418" s="7" t="s">
        <v>939</v>
      </c>
      <c r="J418" s="7" t="s">
        <v>1150</v>
      </c>
      <c r="K418" s="7"/>
    </row>
    <row r="419" spans="1:11" ht="20.100000000000001" customHeight="1" x14ac:dyDescent="0.25">
      <c r="A419" s="12" t="s">
        <v>1362</v>
      </c>
      <c r="B419" s="13">
        <v>13768424</v>
      </c>
      <c r="C419" s="8">
        <v>628961003399</v>
      </c>
      <c r="D419" s="6" t="s">
        <v>917</v>
      </c>
      <c r="E419" s="18">
        <v>1</v>
      </c>
      <c r="F419" s="14">
        <v>89.99</v>
      </c>
      <c r="G419" s="14">
        <v>89.99</v>
      </c>
      <c r="H419" s="7" t="s">
        <v>994</v>
      </c>
      <c r="I419" s="7" t="s">
        <v>939</v>
      </c>
      <c r="J419" s="7" t="s">
        <v>1150</v>
      </c>
      <c r="K419" s="7"/>
    </row>
    <row r="420" spans="1:11" ht="20.100000000000001" customHeight="1" x14ac:dyDescent="0.25">
      <c r="A420" s="12" t="s">
        <v>1362</v>
      </c>
      <c r="B420" s="13">
        <v>13768424</v>
      </c>
      <c r="C420" s="8">
        <v>679610838343</v>
      </c>
      <c r="D420" s="6" t="s">
        <v>918</v>
      </c>
      <c r="E420" s="18">
        <v>1</v>
      </c>
      <c r="F420" s="14">
        <v>109.99</v>
      </c>
      <c r="G420" s="14">
        <v>109.99</v>
      </c>
      <c r="H420" s="7" t="s">
        <v>1032</v>
      </c>
      <c r="I420" s="7" t="s">
        <v>945</v>
      </c>
      <c r="J420" s="7" t="s">
        <v>1055</v>
      </c>
      <c r="K420" s="7"/>
    </row>
    <row r="421" spans="1:11" ht="20.100000000000001" customHeight="1" x14ac:dyDescent="0.25">
      <c r="A421" s="12" t="s">
        <v>1362</v>
      </c>
      <c r="B421" s="13">
        <v>13768424</v>
      </c>
      <c r="C421" s="8">
        <v>733003461126</v>
      </c>
      <c r="D421" s="6" t="s">
        <v>919</v>
      </c>
      <c r="E421" s="18">
        <v>1</v>
      </c>
      <c r="F421" s="14">
        <v>199.99</v>
      </c>
      <c r="G421" s="14">
        <v>199.99</v>
      </c>
      <c r="H421" s="7" t="s">
        <v>1050</v>
      </c>
      <c r="I421" s="7" t="s">
        <v>956</v>
      </c>
      <c r="J421" s="7" t="s">
        <v>1109</v>
      </c>
      <c r="K421" s="7"/>
    </row>
    <row r="422" spans="1:11" ht="20.100000000000001" customHeight="1" x14ac:dyDescent="0.25">
      <c r="A422" s="12" t="s">
        <v>1362</v>
      </c>
      <c r="B422" s="13">
        <v>13768424</v>
      </c>
      <c r="C422" s="8">
        <v>734737686335</v>
      </c>
      <c r="D422" s="6" t="s">
        <v>920</v>
      </c>
      <c r="E422" s="18">
        <v>1</v>
      </c>
      <c r="F422" s="14">
        <v>49.99</v>
      </c>
      <c r="G422" s="14">
        <v>49.99</v>
      </c>
      <c r="H422" s="7" t="s">
        <v>984</v>
      </c>
      <c r="I422" s="7" t="s">
        <v>945</v>
      </c>
      <c r="J422" s="7" t="s">
        <v>974</v>
      </c>
      <c r="K422" s="7"/>
    </row>
    <row r="423" spans="1:11" ht="20.100000000000001" customHeight="1" x14ac:dyDescent="0.25">
      <c r="A423" s="12" t="s">
        <v>1362</v>
      </c>
      <c r="B423" s="13">
        <v>13768424</v>
      </c>
      <c r="C423" s="8">
        <v>679610838022</v>
      </c>
      <c r="D423" s="6" t="s">
        <v>1341</v>
      </c>
      <c r="E423" s="18">
        <v>1</v>
      </c>
      <c r="F423" s="14">
        <v>29.99</v>
      </c>
      <c r="G423" s="14">
        <v>29.99</v>
      </c>
      <c r="H423" s="7" t="s">
        <v>950</v>
      </c>
      <c r="I423" s="7" t="s">
        <v>945</v>
      </c>
      <c r="J423" s="7" t="s">
        <v>1055</v>
      </c>
      <c r="K423" s="7"/>
    </row>
    <row r="424" spans="1:11" ht="20.100000000000001" customHeight="1" x14ac:dyDescent="0.25">
      <c r="A424" s="12" t="s">
        <v>1362</v>
      </c>
      <c r="B424" s="13">
        <v>13768424</v>
      </c>
      <c r="C424" s="8">
        <v>73558822875</v>
      </c>
      <c r="D424" s="6" t="s">
        <v>608</v>
      </c>
      <c r="E424" s="18">
        <v>1</v>
      </c>
      <c r="F424" s="14">
        <v>99.99</v>
      </c>
      <c r="G424" s="14">
        <v>99.99</v>
      </c>
      <c r="H424" s="7"/>
      <c r="I424" s="7" t="s">
        <v>945</v>
      </c>
      <c r="J424" s="7" t="s">
        <v>1406</v>
      </c>
      <c r="K424" s="7"/>
    </row>
    <row r="425" spans="1:11" ht="20.100000000000001" customHeight="1" x14ac:dyDescent="0.25">
      <c r="A425" s="12" t="s">
        <v>1362</v>
      </c>
      <c r="B425" s="13">
        <v>13768424</v>
      </c>
      <c r="C425" s="8">
        <v>651896660092</v>
      </c>
      <c r="D425" s="6" t="s">
        <v>921</v>
      </c>
      <c r="E425" s="18">
        <v>1</v>
      </c>
      <c r="F425" s="14">
        <v>24.99</v>
      </c>
      <c r="G425" s="14">
        <v>24.99</v>
      </c>
      <c r="H425" s="7"/>
      <c r="I425" s="7" t="s">
        <v>947</v>
      </c>
      <c r="J425" s="7" t="s">
        <v>1248</v>
      </c>
      <c r="K425" s="7"/>
    </row>
    <row r="426" spans="1:11" ht="20.100000000000001" customHeight="1" x14ac:dyDescent="0.25">
      <c r="A426" s="12" t="s">
        <v>1362</v>
      </c>
      <c r="B426" s="13">
        <v>13768424</v>
      </c>
      <c r="C426" s="8">
        <v>733003193997</v>
      </c>
      <c r="D426" s="6" t="s">
        <v>1409</v>
      </c>
      <c r="E426" s="18">
        <v>1</v>
      </c>
      <c r="F426" s="14">
        <v>49.99</v>
      </c>
      <c r="G426" s="14">
        <v>49.99</v>
      </c>
      <c r="H426" s="7" t="s">
        <v>984</v>
      </c>
      <c r="I426" s="7" t="s">
        <v>1097</v>
      </c>
      <c r="J426" s="7" t="s">
        <v>1098</v>
      </c>
      <c r="K426" s="7"/>
    </row>
    <row r="427" spans="1:11" ht="20.100000000000001" customHeight="1" x14ac:dyDescent="0.25">
      <c r="A427" s="12" t="s">
        <v>1362</v>
      </c>
      <c r="B427" s="13">
        <v>13768424</v>
      </c>
      <c r="C427" s="8">
        <v>195425025650</v>
      </c>
      <c r="D427" s="6" t="s">
        <v>922</v>
      </c>
      <c r="E427" s="18">
        <v>1</v>
      </c>
      <c r="F427" s="14">
        <v>39.99</v>
      </c>
      <c r="G427" s="14">
        <v>39.99</v>
      </c>
      <c r="H427" s="7" t="s">
        <v>941</v>
      </c>
      <c r="I427" s="7" t="s">
        <v>942</v>
      </c>
      <c r="J427" s="7" t="s">
        <v>1085</v>
      </c>
      <c r="K427" s="7"/>
    </row>
    <row r="428" spans="1:11" ht="20.100000000000001" customHeight="1" x14ac:dyDescent="0.25">
      <c r="A428" s="12" t="s">
        <v>1362</v>
      </c>
      <c r="B428" s="13">
        <v>13768424</v>
      </c>
      <c r="C428" s="8">
        <v>733004500169</v>
      </c>
      <c r="D428" s="6" t="s">
        <v>923</v>
      </c>
      <c r="E428" s="18">
        <v>1</v>
      </c>
      <c r="F428" s="14">
        <v>44.99</v>
      </c>
      <c r="G428" s="14">
        <v>44.99</v>
      </c>
      <c r="H428" s="7" t="s">
        <v>987</v>
      </c>
      <c r="I428" s="7" t="s">
        <v>1128</v>
      </c>
      <c r="J428" s="7" t="s">
        <v>1400</v>
      </c>
      <c r="K428" s="7"/>
    </row>
    <row r="429" spans="1:11" ht="20.100000000000001" customHeight="1" x14ac:dyDescent="0.25">
      <c r="A429" s="12" t="s">
        <v>1362</v>
      </c>
      <c r="B429" s="13">
        <v>13768424</v>
      </c>
      <c r="C429" s="8">
        <v>679610838145</v>
      </c>
      <c r="D429" s="6" t="s">
        <v>618</v>
      </c>
      <c r="E429" s="18">
        <v>1</v>
      </c>
      <c r="F429" s="14">
        <v>29.99</v>
      </c>
      <c r="G429" s="14">
        <v>29.99</v>
      </c>
      <c r="H429" s="7" t="s">
        <v>991</v>
      </c>
      <c r="I429" s="7" t="s">
        <v>945</v>
      </c>
      <c r="J429" s="7" t="s">
        <v>1055</v>
      </c>
      <c r="K429" s="7"/>
    </row>
    <row r="430" spans="1:11" ht="20.100000000000001" customHeight="1" x14ac:dyDescent="0.25">
      <c r="A430" s="12" t="s">
        <v>1362</v>
      </c>
      <c r="B430" s="13">
        <v>13768424</v>
      </c>
      <c r="C430" s="8">
        <v>679610838145</v>
      </c>
      <c r="D430" s="6" t="s">
        <v>618</v>
      </c>
      <c r="E430" s="18">
        <v>1</v>
      </c>
      <c r="F430" s="14">
        <v>29.99</v>
      </c>
      <c r="G430" s="14">
        <v>29.99</v>
      </c>
      <c r="H430" s="7" t="s">
        <v>991</v>
      </c>
      <c r="I430" s="7" t="s">
        <v>945</v>
      </c>
      <c r="J430" s="7" t="s">
        <v>1055</v>
      </c>
      <c r="K430" s="7"/>
    </row>
    <row r="431" spans="1:11" ht="20.100000000000001" customHeight="1" x14ac:dyDescent="0.25">
      <c r="A431" s="12" t="s">
        <v>1362</v>
      </c>
      <c r="B431" s="13">
        <v>13768424</v>
      </c>
      <c r="C431" s="8">
        <v>194169008196</v>
      </c>
      <c r="D431" s="6" t="s">
        <v>1278</v>
      </c>
      <c r="E431" s="18">
        <v>1</v>
      </c>
      <c r="F431" s="14">
        <v>19.989999999999998</v>
      </c>
      <c r="G431" s="14">
        <v>19.989999999999998</v>
      </c>
      <c r="H431" s="7" t="s">
        <v>1236</v>
      </c>
      <c r="I431" s="7" t="s">
        <v>947</v>
      </c>
      <c r="J431" s="7" t="s">
        <v>1266</v>
      </c>
      <c r="K431" s="7"/>
    </row>
    <row r="432" spans="1:11" ht="20.100000000000001" customHeight="1" x14ac:dyDescent="0.25">
      <c r="A432" s="12" t="s">
        <v>1362</v>
      </c>
      <c r="B432" s="13">
        <v>13768424</v>
      </c>
      <c r="C432" s="8">
        <v>91116735887</v>
      </c>
      <c r="D432" s="6" t="s">
        <v>924</v>
      </c>
      <c r="E432" s="18">
        <v>1</v>
      </c>
      <c r="F432" s="14">
        <v>19.989999999999998</v>
      </c>
      <c r="G432" s="14">
        <v>19.989999999999998</v>
      </c>
      <c r="H432" s="7" t="s">
        <v>1001</v>
      </c>
      <c r="I432" s="7" t="s">
        <v>939</v>
      </c>
      <c r="J432" s="7" t="s">
        <v>1249</v>
      </c>
      <c r="K432" s="7"/>
    </row>
    <row r="433" spans="1:11" ht="20.100000000000001" customHeight="1" x14ac:dyDescent="0.25">
      <c r="A433" s="12" t="s">
        <v>1362</v>
      </c>
      <c r="B433" s="13">
        <v>13768424</v>
      </c>
      <c r="C433" s="8">
        <v>86569472434</v>
      </c>
      <c r="D433" s="6" t="s">
        <v>925</v>
      </c>
      <c r="E433" s="18">
        <v>1</v>
      </c>
      <c r="F433" s="14">
        <v>164.99</v>
      </c>
      <c r="G433" s="14">
        <v>164.99</v>
      </c>
      <c r="H433" s="7" t="s">
        <v>1025</v>
      </c>
      <c r="I433" s="7" t="s">
        <v>1017</v>
      </c>
      <c r="J433" s="7" t="s">
        <v>955</v>
      </c>
      <c r="K433" s="7"/>
    </row>
    <row r="434" spans="1:11" ht="20.100000000000001" customHeight="1" x14ac:dyDescent="0.25">
      <c r="A434" s="12" t="s">
        <v>1362</v>
      </c>
      <c r="B434" s="13">
        <v>13768424</v>
      </c>
      <c r="C434" s="8">
        <v>733003461171</v>
      </c>
      <c r="D434" s="6" t="s">
        <v>926</v>
      </c>
      <c r="E434" s="18">
        <v>1</v>
      </c>
      <c r="F434" s="14">
        <v>199.99</v>
      </c>
      <c r="G434" s="14">
        <v>199.99</v>
      </c>
      <c r="H434" s="7" t="s">
        <v>1050</v>
      </c>
      <c r="I434" s="7" t="s">
        <v>956</v>
      </c>
      <c r="J434" s="7" t="s">
        <v>1109</v>
      </c>
      <c r="K434" s="7"/>
    </row>
    <row r="435" spans="1:11" ht="20.100000000000001" customHeight="1" x14ac:dyDescent="0.25">
      <c r="A435" s="12" t="s">
        <v>1362</v>
      </c>
      <c r="B435" s="13">
        <v>13768424</v>
      </c>
      <c r="C435" s="8">
        <v>738980964486</v>
      </c>
      <c r="D435" s="6" t="s">
        <v>927</v>
      </c>
      <c r="E435" s="18">
        <v>1</v>
      </c>
      <c r="F435" s="14">
        <v>27.99</v>
      </c>
      <c r="G435" s="14">
        <v>27.99</v>
      </c>
      <c r="H435" s="7" t="s">
        <v>1050</v>
      </c>
      <c r="I435" s="7" t="s">
        <v>958</v>
      </c>
      <c r="J435" s="7" t="s">
        <v>1089</v>
      </c>
      <c r="K435" s="7"/>
    </row>
    <row r="436" spans="1:11" ht="20.100000000000001" customHeight="1" x14ac:dyDescent="0.25">
      <c r="A436" s="12" t="s">
        <v>1362</v>
      </c>
      <c r="B436" s="13">
        <v>13768424</v>
      </c>
      <c r="C436" s="8">
        <v>734737513372</v>
      </c>
      <c r="D436" s="6" t="s">
        <v>0</v>
      </c>
      <c r="E436" s="18">
        <v>1</v>
      </c>
      <c r="F436" s="14">
        <v>54.99</v>
      </c>
      <c r="G436" s="14">
        <v>54.99</v>
      </c>
      <c r="H436" s="7" t="s">
        <v>1052</v>
      </c>
      <c r="I436" s="7" t="s">
        <v>945</v>
      </c>
      <c r="J436" s="7" t="s">
        <v>974</v>
      </c>
      <c r="K436" s="7"/>
    </row>
    <row r="437" spans="1:11" ht="20.100000000000001" customHeight="1" x14ac:dyDescent="0.25">
      <c r="A437" s="12" t="s">
        <v>1362</v>
      </c>
      <c r="B437" s="13">
        <v>13768424</v>
      </c>
      <c r="C437" s="8">
        <v>81806525386</v>
      </c>
      <c r="D437" s="6" t="s">
        <v>1</v>
      </c>
      <c r="E437" s="18">
        <v>1</v>
      </c>
      <c r="F437" s="14">
        <v>84.99</v>
      </c>
      <c r="G437" s="14">
        <v>84.99</v>
      </c>
      <c r="H437" s="7" t="s">
        <v>941</v>
      </c>
      <c r="I437" s="7" t="s">
        <v>942</v>
      </c>
      <c r="J437" s="7" t="s">
        <v>1189</v>
      </c>
      <c r="K437" s="7"/>
    </row>
    <row r="438" spans="1:11" ht="20.100000000000001" customHeight="1" x14ac:dyDescent="0.25">
      <c r="A438" s="12" t="s">
        <v>1362</v>
      </c>
      <c r="B438" s="13">
        <v>13768424</v>
      </c>
      <c r="C438" s="8">
        <v>733003940089</v>
      </c>
      <c r="D438" s="6" t="s">
        <v>1399</v>
      </c>
      <c r="E438" s="18">
        <v>1</v>
      </c>
      <c r="F438" s="14">
        <v>119.99</v>
      </c>
      <c r="G438" s="14">
        <v>119.99</v>
      </c>
      <c r="H438" s="7" t="s">
        <v>984</v>
      </c>
      <c r="I438" s="7" t="s">
        <v>1080</v>
      </c>
      <c r="J438" s="7" t="s">
        <v>1117</v>
      </c>
      <c r="K438" s="7"/>
    </row>
    <row r="439" spans="1:11" ht="20.100000000000001" customHeight="1" x14ac:dyDescent="0.25">
      <c r="A439" s="12" t="s">
        <v>1362</v>
      </c>
      <c r="B439" s="13">
        <v>13768424</v>
      </c>
      <c r="C439" s="8">
        <v>810055637065</v>
      </c>
      <c r="D439" s="6" t="s">
        <v>2</v>
      </c>
      <c r="E439" s="18">
        <v>1</v>
      </c>
      <c r="F439" s="14">
        <v>8.99</v>
      </c>
      <c r="G439" s="14">
        <v>8.99</v>
      </c>
      <c r="H439" s="7" t="s">
        <v>1435</v>
      </c>
      <c r="I439" s="7" t="s">
        <v>1033</v>
      </c>
      <c r="J439" s="7" t="s">
        <v>1354</v>
      </c>
      <c r="K439" s="7"/>
    </row>
    <row r="440" spans="1:11" ht="20.100000000000001" customHeight="1" x14ac:dyDescent="0.25">
      <c r="A440" s="12" t="s">
        <v>1362</v>
      </c>
      <c r="B440" s="13">
        <v>13768424</v>
      </c>
      <c r="C440" s="8">
        <v>86569720085</v>
      </c>
      <c r="D440" s="6" t="s">
        <v>1449</v>
      </c>
      <c r="E440" s="18">
        <v>1</v>
      </c>
      <c r="F440" s="14">
        <v>179.99</v>
      </c>
      <c r="G440" s="14">
        <v>179.99</v>
      </c>
      <c r="H440" s="7" t="s">
        <v>941</v>
      </c>
      <c r="I440" s="7" t="s">
        <v>945</v>
      </c>
      <c r="J440" s="7" t="s">
        <v>955</v>
      </c>
      <c r="K440" s="7"/>
    </row>
    <row r="441" spans="1:11" ht="20.100000000000001" customHeight="1" x14ac:dyDescent="0.25">
      <c r="A441" s="12" t="s">
        <v>1362</v>
      </c>
      <c r="B441" s="13">
        <v>13768424</v>
      </c>
      <c r="C441" s="8">
        <v>840033381765</v>
      </c>
      <c r="D441" s="6" t="s">
        <v>3</v>
      </c>
      <c r="E441" s="18">
        <v>1</v>
      </c>
      <c r="F441" s="14">
        <v>64.989999999999995</v>
      </c>
      <c r="G441" s="14">
        <v>64.989999999999995</v>
      </c>
      <c r="H441" s="7" t="s">
        <v>944</v>
      </c>
      <c r="I441" s="7" t="s">
        <v>939</v>
      </c>
      <c r="J441" s="7" t="s">
        <v>953</v>
      </c>
      <c r="K441" s="7"/>
    </row>
    <row r="442" spans="1:11" ht="20.100000000000001" customHeight="1" x14ac:dyDescent="0.25">
      <c r="A442" s="12" t="s">
        <v>1362</v>
      </c>
      <c r="B442" s="13">
        <v>13768424</v>
      </c>
      <c r="C442" s="8">
        <v>783048172129</v>
      </c>
      <c r="D442" s="6" t="s">
        <v>1344</v>
      </c>
      <c r="E442" s="18">
        <v>1</v>
      </c>
      <c r="F442" s="14">
        <v>29.99</v>
      </c>
      <c r="G442" s="14">
        <v>29.99</v>
      </c>
      <c r="H442" s="7"/>
      <c r="I442" s="7" t="s">
        <v>945</v>
      </c>
      <c r="J442" s="7" t="s">
        <v>1021</v>
      </c>
      <c r="K442" s="7"/>
    </row>
    <row r="443" spans="1:11" ht="20.100000000000001" customHeight="1" x14ac:dyDescent="0.25">
      <c r="C443" s="15"/>
      <c r="E443" s="15">
        <f>SUM(E2:E442)</f>
        <v>577</v>
      </c>
      <c r="G443" s="20">
        <f>SUM(G2:G442)</f>
        <v>44447.630000000019</v>
      </c>
    </row>
  </sheetData>
  <phoneticPr fontId="0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51"/>
  <sheetViews>
    <sheetView workbookViewId="0">
      <selection activeCell="G551" sqref="G551"/>
    </sheetView>
  </sheetViews>
  <sheetFormatPr defaultRowHeight="20.100000000000001" customHeight="1" x14ac:dyDescent="0.25"/>
  <cols>
    <col min="1" max="1" width="26" bestFit="1" customWidth="1"/>
    <col min="2" max="2" width="12.5703125" customWidth="1"/>
    <col min="3" max="3" width="15" customWidth="1"/>
    <col min="4" max="4" width="70.5703125" bestFit="1" customWidth="1"/>
    <col min="5" max="5" width="16.5703125" customWidth="1"/>
    <col min="6" max="6" width="15.28515625" customWidth="1"/>
    <col min="7" max="7" width="21" bestFit="1" customWidth="1"/>
    <col min="8" max="8" width="12.140625" customWidth="1"/>
    <col min="9" max="9" width="18" customWidth="1"/>
    <col min="10" max="10" width="39.42578125" customWidth="1"/>
    <col min="11" max="11" width="48.140625" bestFit="1" customWidth="1"/>
    <col min="12" max="12" width="64.28515625" customWidth="1"/>
  </cols>
  <sheetData>
    <row r="1" spans="1:12" ht="20.100000000000001" customHeight="1" x14ac:dyDescent="0.25">
      <c r="A1" s="19" t="s">
        <v>1293</v>
      </c>
      <c r="B1" s="19" t="s">
        <v>1294</v>
      </c>
      <c r="C1" s="19" t="s">
        <v>930</v>
      </c>
      <c r="D1" s="19" t="s">
        <v>931</v>
      </c>
      <c r="E1" s="19" t="s">
        <v>932</v>
      </c>
      <c r="F1" s="19" t="s">
        <v>1295</v>
      </c>
      <c r="G1" s="19" t="s">
        <v>933</v>
      </c>
      <c r="H1" s="19" t="s">
        <v>934</v>
      </c>
      <c r="I1" s="19" t="s">
        <v>935</v>
      </c>
      <c r="J1" s="19" t="s">
        <v>936</v>
      </c>
      <c r="K1" s="19" t="s">
        <v>937</v>
      </c>
      <c r="L1" s="5"/>
    </row>
    <row r="2" spans="1:12" ht="20.100000000000001" customHeight="1" x14ac:dyDescent="0.25">
      <c r="A2" s="12" t="s">
        <v>1296</v>
      </c>
      <c r="B2" s="13">
        <v>13770172</v>
      </c>
      <c r="C2" s="8">
        <v>21864227792</v>
      </c>
      <c r="D2" s="6" t="s">
        <v>4</v>
      </c>
      <c r="E2" s="18">
        <v>1</v>
      </c>
      <c r="F2" s="14">
        <v>9.99</v>
      </c>
      <c r="G2" s="14">
        <v>9.99</v>
      </c>
      <c r="H2" s="7" t="s">
        <v>5</v>
      </c>
      <c r="I2" s="7" t="s">
        <v>958</v>
      </c>
      <c r="J2" s="7" t="s">
        <v>1196</v>
      </c>
      <c r="K2" s="7" t="str">
        <f>HYPERLINK("http://slimages.macys.com/is/image/MCY/8900132 ")</f>
        <v xml:space="preserve">http://slimages.macys.com/is/image/MCY/8900132 </v>
      </c>
      <c r="L2" s="9"/>
    </row>
    <row r="3" spans="1:12" ht="20.100000000000001" customHeight="1" x14ac:dyDescent="0.25">
      <c r="A3" s="12" t="s">
        <v>1296</v>
      </c>
      <c r="B3" s="13">
        <v>13770172</v>
      </c>
      <c r="C3" s="8">
        <v>21864284832</v>
      </c>
      <c r="D3" s="6" t="s">
        <v>1412</v>
      </c>
      <c r="E3" s="18">
        <v>4</v>
      </c>
      <c r="F3" s="14">
        <v>21.99</v>
      </c>
      <c r="G3" s="14">
        <v>87.96</v>
      </c>
      <c r="H3" s="7" t="s">
        <v>965</v>
      </c>
      <c r="I3" s="7" t="s">
        <v>1033</v>
      </c>
      <c r="J3" s="7" t="s">
        <v>1196</v>
      </c>
      <c r="K3" s="7" t="str">
        <f>HYPERLINK("http://slimages.macys.com/is/image/MCY/1119570 ")</f>
        <v xml:space="preserve">http://slimages.macys.com/is/image/MCY/1119570 </v>
      </c>
      <c r="L3" s="9"/>
    </row>
    <row r="4" spans="1:12" ht="20.100000000000001" customHeight="1" x14ac:dyDescent="0.25">
      <c r="A4" s="12" t="s">
        <v>1296</v>
      </c>
      <c r="B4" s="13">
        <v>13770172</v>
      </c>
      <c r="C4" s="8">
        <v>21864285099</v>
      </c>
      <c r="D4" s="6" t="s">
        <v>1412</v>
      </c>
      <c r="E4" s="18">
        <v>4</v>
      </c>
      <c r="F4" s="14">
        <v>17.989999999999998</v>
      </c>
      <c r="G4" s="14">
        <v>71.959999999999994</v>
      </c>
      <c r="H4" s="7" t="s">
        <v>965</v>
      </c>
      <c r="I4" s="7" t="s">
        <v>1033</v>
      </c>
      <c r="J4" s="7" t="s">
        <v>1196</v>
      </c>
      <c r="K4" s="7" t="str">
        <f>HYPERLINK("http://slimages.macys.com/is/image/MCY/1119570 ")</f>
        <v xml:space="preserve">http://slimages.macys.com/is/image/MCY/1119570 </v>
      </c>
      <c r="L4" s="9"/>
    </row>
    <row r="5" spans="1:12" ht="20.100000000000001" customHeight="1" x14ac:dyDescent="0.25">
      <c r="A5" s="12" t="s">
        <v>1296</v>
      </c>
      <c r="B5" s="13">
        <v>13770172</v>
      </c>
      <c r="C5" s="8">
        <v>21864285617</v>
      </c>
      <c r="D5" s="6" t="s">
        <v>1412</v>
      </c>
      <c r="E5" s="18">
        <v>3</v>
      </c>
      <c r="F5" s="14">
        <v>9.99</v>
      </c>
      <c r="G5" s="14">
        <v>29.97</v>
      </c>
      <c r="H5" s="7" t="s">
        <v>965</v>
      </c>
      <c r="I5" s="7" t="s">
        <v>1033</v>
      </c>
      <c r="J5" s="7" t="s">
        <v>1196</v>
      </c>
      <c r="K5" s="7" t="str">
        <f>HYPERLINK("http://slimages.macys.com/is/image/MCY/1119570 ")</f>
        <v xml:space="preserve">http://slimages.macys.com/is/image/MCY/1119570 </v>
      </c>
      <c r="L5" s="9"/>
    </row>
    <row r="6" spans="1:12" ht="20.100000000000001" customHeight="1" x14ac:dyDescent="0.25">
      <c r="A6" s="12" t="s">
        <v>1296</v>
      </c>
      <c r="B6" s="13">
        <v>13770172</v>
      </c>
      <c r="C6" s="8">
        <v>21864286966</v>
      </c>
      <c r="D6" s="6" t="s">
        <v>6</v>
      </c>
      <c r="E6" s="18">
        <v>2</v>
      </c>
      <c r="F6" s="14">
        <v>21.99</v>
      </c>
      <c r="G6" s="14">
        <v>43.98</v>
      </c>
      <c r="H6" s="7" t="s">
        <v>952</v>
      </c>
      <c r="I6" s="7" t="s">
        <v>1033</v>
      </c>
      <c r="J6" s="7" t="s">
        <v>1196</v>
      </c>
      <c r="K6" s="7" t="str">
        <f>HYPERLINK("http://slimages.macys.com/is/image/MCY/1119571 ")</f>
        <v xml:space="preserve">http://slimages.macys.com/is/image/MCY/1119571 </v>
      </c>
      <c r="L6" s="9"/>
    </row>
    <row r="7" spans="1:12" ht="20.100000000000001" customHeight="1" x14ac:dyDescent="0.25">
      <c r="A7" s="12" t="s">
        <v>1296</v>
      </c>
      <c r="B7" s="13">
        <v>13770172</v>
      </c>
      <c r="C7" s="8">
        <v>21864289622</v>
      </c>
      <c r="D7" s="6" t="s">
        <v>7</v>
      </c>
      <c r="E7" s="18">
        <v>1</v>
      </c>
      <c r="F7" s="14">
        <v>9.99</v>
      </c>
      <c r="G7" s="14">
        <v>9.99</v>
      </c>
      <c r="H7" s="7" t="s">
        <v>941</v>
      </c>
      <c r="I7" s="7" t="s">
        <v>1033</v>
      </c>
      <c r="J7" s="7" t="s">
        <v>1196</v>
      </c>
      <c r="K7" s="7" t="str">
        <f>HYPERLINK("http://slimages.macys.com/is/image/MCY/8770784 ")</f>
        <v xml:space="preserve">http://slimages.macys.com/is/image/MCY/8770784 </v>
      </c>
      <c r="L7" s="9"/>
    </row>
    <row r="8" spans="1:12" ht="20.100000000000001" customHeight="1" x14ac:dyDescent="0.25">
      <c r="A8" s="12" t="s">
        <v>1296</v>
      </c>
      <c r="B8" s="13">
        <v>13770172</v>
      </c>
      <c r="C8" s="8">
        <v>21864324309</v>
      </c>
      <c r="D8" s="6" t="s">
        <v>8</v>
      </c>
      <c r="E8" s="18">
        <v>1</v>
      </c>
      <c r="F8" s="14">
        <v>39.99</v>
      </c>
      <c r="G8" s="14">
        <v>39.99</v>
      </c>
      <c r="H8" s="7" t="s">
        <v>1168</v>
      </c>
      <c r="I8" s="7" t="s">
        <v>958</v>
      </c>
      <c r="J8" s="7" t="s">
        <v>1196</v>
      </c>
      <c r="K8" s="7" t="str">
        <f>HYPERLINK("http://slimages.macys.com/is/image/MCY/8900124 ")</f>
        <v xml:space="preserve">http://slimages.macys.com/is/image/MCY/8900124 </v>
      </c>
      <c r="L8" s="9"/>
    </row>
    <row r="9" spans="1:12" ht="20.100000000000001" customHeight="1" x14ac:dyDescent="0.25">
      <c r="A9" s="12" t="s">
        <v>1296</v>
      </c>
      <c r="B9" s="13">
        <v>13770172</v>
      </c>
      <c r="C9" s="8">
        <v>21864382804</v>
      </c>
      <c r="D9" s="6" t="s">
        <v>9</v>
      </c>
      <c r="E9" s="18">
        <v>1</v>
      </c>
      <c r="F9" s="14">
        <v>31.99</v>
      </c>
      <c r="G9" s="14">
        <v>31.99</v>
      </c>
      <c r="H9" s="7" t="s">
        <v>1168</v>
      </c>
      <c r="I9" s="7" t="s">
        <v>958</v>
      </c>
      <c r="J9" s="7" t="s">
        <v>1196</v>
      </c>
      <c r="K9" s="7" t="str">
        <f>HYPERLINK("http://slimages.macys.com/is/image/MCY/11939004 ")</f>
        <v xml:space="preserve">http://slimages.macys.com/is/image/MCY/11939004 </v>
      </c>
      <c r="L9" s="9"/>
    </row>
    <row r="10" spans="1:12" ht="20.100000000000001" customHeight="1" x14ac:dyDescent="0.25">
      <c r="A10" s="12" t="s">
        <v>1296</v>
      </c>
      <c r="B10" s="13">
        <v>13770172</v>
      </c>
      <c r="C10" s="8">
        <v>26865577914</v>
      </c>
      <c r="D10" s="6" t="s">
        <v>10</v>
      </c>
      <c r="E10" s="18">
        <v>1</v>
      </c>
      <c r="F10" s="14">
        <v>17.989999999999998</v>
      </c>
      <c r="G10" s="14">
        <v>17.989999999999998</v>
      </c>
      <c r="H10" s="7" t="s">
        <v>1036</v>
      </c>
      <c r="I10" s="7" t="s">
        <v>947</v>
      </c>
      <c r="J10" s="7" t="s">
        <v>977</v>
      </c>
      <c r="K10" s="7" t="str">
        <f>HYPERLINK("http://slimages.macys.com/is/image/MCY/9316063 ")</f>
        <v xml:space="preserve">http://slimages.macys.com/is/image/MCY/9316063 </v>
      </c>
      <c r="L10" s="9"/>
    </row>
    <row r="11" spans="1:12" ht="20.100000000000001" customHeight="1" x14ac:dyDescent="0.25">
      <c r="A11" s="12" t="s">
        <v>1296</v>
      </c>
      <c r="B11" s="13">
        <v>13770172</v>
      </c>
      <c r="C11" s="8">
        <v>26865853575</v>
      </c>
      <c r="D11" s="6" t="s">
        <v>11</v>
      </c>
      <c r="E11" s="18">
        <v>2</v>
      </c>
      <c r="F11" s="14">
        <v>36.99</v>
      </c>
      <c r="G11" s="14">
        <v>73.98</v>
      </c>
      <c r="H11" s="7" t="s">
        <v>1051</v>
      </c>
      <c r="I11" s="7" t="s">
        <v>947</v>
      </c>
      <c r="J11" s="7" t="s">
        <v>977</v>
      </c>
      <c r="K11" s="7" t="str">
        <f>HYPERLINK("http://slimages.macys.com/is/image/MCY/9167471 ")</f>
        <v xml:space="preserve">http://slimages.macys.com/is/image/MCY/9167471 </v>
      </c>
      <c r="L11" s="9"/>
    </row>
    <row r="12" spans="1:12" ht="20.100000000000001" customHeight="1" x14ac:dyDescent="0.25">
      <c r="A12" s="12" t="s">
        <v>1296</v>
      </c>
      <c r="B12" s="13">
        <v>13770172</v>
      </c>
      <c r="C12" s="8">
        <v>26865853575</v>
      </c>
      <c r="D12" s="6" t="s">
        <v>11</v>
      </c>
      <c r="E12" s="18">
        <v>4</v>
      </c>
      <c r="F12" s="14">
        <v>36.99</v>
      </c>
      <c r="G12" s="14">
        <v>147.96</v>
      </c>
      <c r="H12" s="7" t="s">
        <v>1051</v>
      </c>
      <c r="I12" s="7" t="s">
        <v>947</v>
      </c>
      <c r="J12" s="7" t="s">
        <v>977</v>
      </c>
      <c r="K12" s="7" t="str">
        <f>HYPERLINK("http://slimages.macys.com/is/image/MCY/9167471 ")</f>
        <v xml:space="preserve">http://slimages.macys.com/is/image/MCY/9167471 </v>
      </c>
      <c r="L12" s="9"/>
    </row>
    <row r="13" spans="1:12" ht="20.100000000000001" customHeight="1" x14ac:dyDescent="0.25">
      <c r="A13" s="12" t="s">
        <v>1296</v>
      </c>
      <c r="B13" s="13">
        <v>13770172</v>
      </c>
      <c r="C13" s="8">
        <v>26865855197</v>
      </c>
      <c r="D13" s="6" t="s">
        <v>12</v>
      </c>
      <c r="E13" s="18">
        <v>4</v>
      </c>
      <c r="F13" s="14">
        <v>39.99</v>
      </c>
      <c r="G13" s="14">
        <v>159.96</v>
      </c>
      <c r="H13" s="7" t="s">
        <v>1036</v>
      </c>
      <c r="I13" s="7" t="s">
        <v>947</v>
      </c>
      <c r="J13" s="7" t="s">
        <v>977</v>
      </c>
      <c r="K13" s="7" t="str">
        <f>HYPERLINK("http://slimages.macys.com/is/image/MCY/9175647 ")</f>
        <v xml:space="preserve">http://slimages.macys.com/is/image/MCY/9175647 </v>
      </c>
      <c r="L13" s="9"/>
    </row>
    <row r="14" spans="1:12" ht="20.100000000000001" customHeight="1" x14ac:dyDescent="0.25">
      <c r="A14" s="12" t="s">
        <v>1296</v>
      </c>
      <c r="B14" s="13">
        <v>13770172</v>
      </c>
      <c r="C14" s="8">
        <v>26865857177</v>
      </c>
      <c r="D14" s="6" t="s">
        <v>13</v>
      </c>
      <c r="E14" s="18">
        <v>1</v>
      </c>
      <c r="F14" s="14">
        <v>39.99</v>
      </c>
      <c r="G14" s="14">
        <v>39.99</v>
      </c>
      <c r="H14" s="7" t="s">
        <v>1056</v>
      </c>
      <c r="I14" s="7" t="s">
        <v>947</v>
      </c>
      <c r="J14" s="7" t="s">
        <v>977</v>
      </c>
      <c r="K14" s="7" t="str">
        <f>HYPERLINK("http://slimages.macys.com/is/image/MCY/9175647 ")</f>
        <v xml:space="preserve">http://slimages.macys.com/is/image/MCY/9175647 </v>
      </c>
      <c r="L14" s="9"/>
    </row>
    <row r="15" spans="1:12" ht="20.100000000000001" customHeight="1" x14ac:dyDescent="0.25">
      <c r="A15" s="12" t="s">
        <v>1296</v>
      </c>
      <c r="B15" s="13">
        <v>13770172</v>
      </c>
      <c r="C15" s="8">
        <v>26865868432</v>
      </c>
      <c r="D15" s="6" t="s">
        <v>1463</v>
      </c>
      <c r="E15" s="18">
        <v>1</v>
      </c>
      <c r="F15" s="14">
        <v>36.99</v>
      </c>
      <c r="G15" s="14">
        <v>36.99</v>
      </c>
      <c r="H15" s="7" t="s">
        <v>1036</v>
      </c>
      <c r="I15" s="7" t="s">
        <v>947</v>
      </c>
      <c r="J15" s="7" t="s">
        <v>977</v>
      </c>
      <c r="K15" s="7" t="str">
        <f>HYPERLINK("http://slimages.macys.com/is/image/MCY/9175647 ")</f>
        <v xml:space="preserve">http://slimages.macys.com/is/image/MCY/9175647 </v>
      </c>
      <c r="L15" s="9"/>
    </row>
    <row r="16" spans="1:12" ht="20.100000000000001" customHeight="1" x14ac:dyDescent="0.25">
      <c r="A16" s="12" t="s">
        <v>1296</v>
      </c>
      <c r="B16" s="13">
        <v>13770172</v>
      </c>
      <c r="C16" s="8">
        <v>26865868432</v>
      </c>
      <c r="D16" s="6" t="s">
        <v>1463</v>
      </c>
      <c r="E16" s="18">
        <v>1</v>
      </c>
      <c r="F16" s="14">
        <v>36.99</v>
      </c>
      <c r="G16" s="14">
        <v>36.99</v>
      </c>
      <c r="H16" s="7" t="s">
        <v>1036</v>
      </c>
      <c r="I16" s="7" t="s">
        <v>947</v>
      </c>
      <c r="J16" s="7" t="s">
        <v>977</v>
      </c>
      <c r="K16" s="7" t="str">
        <f>HYPERLINK("http://slimages.macys.com/is/image/MCY/9175647 ")</f>
        <v xml:space="preserve">http://slimages.macys.com/is/image/MCY/9175647 </v>
      </c>
      <c r="L16" s="9"/>
    </row>
    <row r="17" spans="1:12" ht="20.100000000000001" customHeight="1" x14ac:dyDescent="0.25">
      <c r="A17" s="12" t="s">
        <v>1296</v>
      </c>
      <c r="B17" s="13">
        <v>13770172</v>
      </c>
      <c r="C17" s="8">
        <v>26865901474</v>
      </c>
      <c r="D17" s="6" t="s">
        <v>14</v>
      </c>
      <c r="E17" s="18">
        <v>2</v>
      </c>
      <c r="F17" s="14">
        <v>31.99</v>
      </c>
      <c r="G17" s="14">
        <v>63.98</v>
      </c>
      <c r="H17" s="7" t="s">
        <v>1466</v>
      </c>
      <c r="I17" s="7" t="s">
        <v>947</v>
      </c>
      <c r="J17" s="7" t="s">
        <v>977</v>
      </c>
      <c r="K17" s="7" t="str">
        <f>HYPERLINK("http://slimages.macys.com/is/image/MCY/3881730 ")</f>
        <v xml:space="preserve">http://slimages.macys.com/is/image/MCY/3881730 </v>
      </c>
      <c r="L17" s="9"/>
    </row>
    <row r="18" spans="1:12" ht="20.100000000000001" customHeight="1" x14ac:dyDescent="0.25">
      <c r="A18" s="12" t="s">
        <v>1296</v>
      </c>
      <c r="B18" s="13">
        <v>13770172</v>
      </c>
      <c r="C18" s="8">
        <v>26865901528</v>
      </c>
      <c r="D18" s="6" t="s">
        <v>15</v>
      </c>
      <c r="E18" s="18">
        <v>4</v>
      </c>
      <c r="F18" s="14">
        <v>35.99</v>
      </c>
      <c r="G18" s="14">
        <v>143.96</v>
      </c>
      <c r="H18" s="7" t="s">
        <v>1466</v>
      </c>
      <c r="I18" s="7" t="s">
        <v>947</v>
      </c>
      <c r="J18" s="7" t="s">
        <v>977</v>
      </c>
      <c r="K18" s="7" t="str">
        <f>HYPERLINK("http://slimages.macys.com/is/image/MCY/3881734 ")</f>
        <v xml:space="preserve">http://slimages.macys.com/is/image/MCY/3881734 </v>
      </c>
      <c r="L18" s="9"/>
    </row>
    <row r="19" spans="1:12" ht="20.100000000000001" customHeight="1" x14ac:dyDescent="0.25">
      <c r="A19" s="12" t="s">
        <v>1296</v>
      </c>
      <c r="B19" s="13">
        <v>13770172</v>
      </c>
      <c r="C19" s="8">
        <v>26865901528</v>
      </c>
      <c r="D19" s="6" t="s">
        <v>15</v>
      </c>
      <c r="E19" s="18">
        <v>1</v>
      </c>
      <c r="F19" s="14">
        <v>35.99</v>
      </c>
      <c r="G19" s="14">
        <v>35.99</v>
      </c>
      <c r="H19" s="7" t="s">
        <v>1466</v>
      </c>
      <c r="I19" s="7" t="s">
        <v>947</v>
      </c>
      <c r="J19" s="7" t="s">
        <v>977</v>
      </c>
      <c r="K19" s="7" t="str">
        <f>HYPERLINK("http://slimages.macys.com/is/image/MCY/3881734 ")</f>
        <v xml:space="preserve">http://slimages.macys.com/is/image/MCY/3881734 </v>
      </c>
      <c r="L19" s="9"/>
    </row>
    <row r="20" spans="1:12" ht="20.100000000000001" customHeight="1" x14ac:dyDescent="0.25">
      <c r="A20" s="12" t="s">
        <v>1296</v>
      </c>
      <c r="B20" s="13">
        <v>13770172</v>
      </c>
      <c r="C20" s="8">
        <v>26865901573</v>
      </c>
      <c r="D20" s="6" t="s">
        <v>16</v>
      </c>
      <c r="E20" s="18">
        <v>3</v>
      </c>
      <c r="F20" s="14">
        <v>32.99</v>
      </c>
      <c r="G20" s="14">
        <v>98.97</v>
      </c>
      <c r="H20" s="7" t="s">
        <v>1466</v>
      </c>
      <c r="I20" s="7" t="s">
        <v>947</v>
      </c>
      <c r="J20" s="7" t="s">
        <v>977</v>
      </c>
      <c r="K20" s="7" t="str">
        <f>HYPERLINK("http://slimages.macys.com/is/image/MCY/9170298 ")</f>
        <v xml:space="preserve">http://slimages.macys.com/is/image/MCY/9170298 </v>
      </c>
      <c r="L20" s="9"/>
    </row>
    <row r="21" spans="1:12" ht="20.100000000000001" customHeight="1" x14ac:dyDescent="0.25">
      <c r="A21" s="12" t="s">
        <v>1296</v>
      </c>
      <c r="B21" s="13">
        <v>13770172</v>
      </c>
      <c r="C21" s="8">
        <v>26865919561</v>
      </c>
      <c r="D21" s="6" t="s">
        <v>17</v>
      </c>
      <c r="E21" s="18">
        <v>1</v>
      </c>
      <c r="F21" s="14">
        <v>46.99</v>
      </c>
      <c r="G21" s="14">
        <v>46.99</v>
      </c>
      <c r="H21" s="7" t="s">
        <v>1466</v>
      </c>
      <c r="I21" s="7" t="s">
        <v>947</v>
      </c>
      <c r="J21" s="7" t="s">
        <v>977</v>
      </c>
      <c r="K21" s="7" t="str">
        <f>HYPERLINK("http://slimages.macys.com/is/image/MCY/9168182 ")</f>
        <v xml:space="preserve">http://slimages.macys.com/is/image/MCY/9168182 </v>
      </c>
      <c r="L21" s="9"/>
    </row>
    <row r="22" spans="1:12" ht="20.100000000000001" customHeight="1" x14ac:dyDescent="0.25">
      <c r="A22" s="12" t="s">
        <v>1296</v>
      </c>
      <c r="B22" s="13">
        <v>13770172</v>
      </c>
      <c r="C22" s="8">
        <v>26865919608</v>
      </c>
      <c r="D22" s="6" t="s">
        <v>18</v>
      </c>
      <c r="E22" s="18">
        <v>1</v>
      </c>
      <c r="F22" s="14">
        <v>37.99</v>
      </c>
      <c r="G22" s="14">
        <v>37.99</v>
      </c>
      <c r="H22" s="7" t="s">
        <v>938</v>
      </c>
      <c r="I22" s="7" t="s">
        <v>947</v>
      </c>
      <c r="J22" s="7" t="s">
        <v>977</v>
      </c>
      <c r="K22" s="7" t="str">
        <f>HYPERLINK("http://slimages.macys.com/is/image/MCY/9168183 ")</f>
        <v xml:space="preserve">http://slimages.macys.com/is/image/MCY/9168183 </v>
      </c>
      <c r="L22" s="9"/>
    </row>
    <row r="23" spans="1:12" ht="20.100000000000001" customHeight="1" x14ac:dyDescent="0.25">
      <c r="A23" s="12" t="s">
        <v>1296</v>
      </c>
      <c r="B23" s="13">
        <v>13770172</v>
      </c>
      <c r="C23" s="8">
        <v>26865929454</v>
      </c>
      <c r="D23" s="6" t="s">
        <v>19</v>
      </c>
      <c r="E23" s="18">
        <v>1</v>
      </c>
      <c r="F23" s="14">
        <v>31.99</v>
      </c>
      <c r="G23" s="14">
        <v>31.99</v>
      </c>
      <c r="H23" s="7" t="s">
        <v>941</v>
      </c>
      <c r="I23" s="7" t="s">
        <v>947</v>
      </c>
      <c r="J23" s="7" t="s">
        <v>977</v>
      </c>
      <c r="K23" s="7" t="str">
        <f>HYPERLINK("http://slimages.macys.com/is/image/MCY/9169379 ")</f>
        <v xml:space="preserve">http://slimages.macys.com/is/image/MCY/9169379 </v>
      </c>
      <c r="L23" s="9"/>
    </row>
    <row r="24" spans="1:12" ht="20.100000000000001" customHeight="1" x14ac:dyDescent="0.25">
      <c r="A24" s="12" t="s">
        <v>1296</v>
      </c>
      <c r="B24" s="13">
        <v>13770172</v>
      </c>
      <c r="C24" s="8">
        <v>29927435054</v>
      </c>
      <c r="D24" s="6" t="s">
        <v>20</v>
      </c>
      <c r="E24" s="18">
        <v>1</v>
      </c>
      <c r="F24" s="14">
        <v>17.989999999999998</v>
      </c>
      <c r="G24" s="14">
        <v>17.989999999999998</v>
      </c>
      <c r="H24" s="7" t="s">
        <v>1116</v>
      </c>
      <c r="I24" s="7" t="s">
        <v>947</v>
      </c>
      <c r="J24" s="7" t="s">
        <v>982</v>
      </c>
      <c r="K24" s="7" t="str">
        <f>HYPERLINK("http://slimages.macys.com/is/image/MCY/12936375 ")</f>
        <v xml:space="preserve">http://slimages.macys.com/is/image/MCY/12936375 </v>
      </c>
      <c r="L24" s="9"/>
    </row>
    <row r="25" spans="1:12" ht="20.100000000000001" customHeight="1" x14ac:dyDescent="0.25">
      <c r="A25" s="12" t="s">
        <v>1296</v>
      </c>
      <c r="B25" s="13">
        <v>13770172</v>
      </c>
      <c r="C25" s="8">
        <v>29927440188</v>
      </c>
      <c r="D25" s="6" t="s">
        <v>21</v>
      </c>
      <c r="E25" s="18">
        <v>2</v>
      </c>
      <c r="F25" s="14">
        <v>17.989999999999998</v>
      </c>
      <c r="G25" s="14">
        <v>35.979999999999997</v>
      </c>
      <c r="H25" s="7" t="s">
        <v>1116</v>
      </c>
      <c r="I25" s="7" t="s">
        <v>947</v>
      </c>
      <c r="J25" s="7" t="s">
        <v>982</v>
      </c>
      <c r="K25" s="7" t="str">
        <f>HYPERLINK("http://slimages.macys.com/is/image/MCY/3208152 ")</f>
        <v xml:space="preserve">http://slimages.macys.com/is/image/MCY/3208152 </v>
      </c>
      <c r="L25" s="9"/>
    </row>
    <row r="26" spans="1:12" ht="20.100000000000001" customHeight="1" x14ac:dyDescent="0.25">
      <c r="A26" s="12" t="s">
        <v>1296</v>
      </c>
      <c r="B26" s="13">
        <v>13770172</v>
      </c>
      <c r="C26" s="8">
        <v>29927440300</v>
      </c>
      <c r="D26" s="6" t="s">
        <v>22</v>
      </c>
      <c r="E26" s="18">
        <v>1</v>
      </c>
      <c r="F26" s="14">
        <v>16.989999999999998</v>
      </c>
      <c r="G26" s="14">
        <v>16.989999999999998</v>
      </c>
      <c r="H26" s="7" t="s">
        <v>1095</v>
      </c>
      <c r="I26" s="7" t="s">
        <v>947</v>
      </c>
      <c r="J26" s="7" t="s">
        <v>982</v>
      </c>
      <c r="K26" s="7" t="str">
        <f>HYPERLINK("http://slimages.macys.com/is/image/MCY/10010133 ")</f>
        <v xml:space="preserve">http://slimages.macys.com/is/image/MCY/10010133 </v>
      </c>
      <c r="L26" s="9"/>
    </row>
    <row r="27" spans="1:12" ht="20.100000000000001" customHeight="1" x14ac:dyDescent="0.25">
      <c r="A27" s="12" t="s">
        <v>1296</v>
      </c>
      <c r="B27" s="13">
        <v>13770172</v>
      </c>
      <c r="C27" s="8">
        <v>29927480559</v>
      </c>
      <c r="D27" s="6" t="s">
        <v>23</v>
      </c>
      <c r="E27" s="18">
        <v>1</v>
      </c>
      <c r="F27" s="14">
        <v>16.989999999999998</v>
      </c>
      <c r="G27" s="14">
        <v>16.989999999999998</v>
      </c>
      <c r="H27" s="7" t="s">
        <v>991</v>
      </c>
      <c r="I27" s="7" t="s">
        <v>947</v>
      </c>
      <c r="J27" s="7" t="s">
        <v>982</v>
      </c>
      <c r="K27" s="7" t="str">
        <f>HYPERLINK("http://slimages.macys.com/is/image/MCY/10010133 ")</f>
        <v xml:space="preserve">http://slimages.macys.com/is/image/MCY/10010133 </v>
      </c>
      <c r="L27" s="9"/>
    </row>
    <row r="28" spans="1:12" ht="20.100000000000001" customHeight="1" x14ac:dyDescent="0.25">
      <c r="A28" s="12" t="s">
        <v>1296</v>
      </c>
      <c r="B28" s="13">
        <v>13770172</v>
      </c>
      <c r="C28" s="8">
        <v>29927480696</v>
      </c>
      <c r="D28" s="6" t="s">
        <v>1298</v>
      </c>
      <c r="E28" s="18">
        <v>3</v>
      </c>
      <c r="F28" s="14">
        <v>19.989999999999998</v>
      </c>
      <c r="G28" s="14">
        <v>59.97</v>
      </c>
      <c r="H28" s="7" t="s">
        <v>991</v>
      </c>
      <c r="I28" s="7" t="s">
        <v>947</v>
      </c>
      <c r="J28" s="7" t="s">
        <v>982</v>
      </c>
      <c r="K28" s="7" t="str">
        <f>HYPERLINK("http://slimages.macys.com/is/image/MCY/8759583 ")</f>
        <v xml:space="preserve">http://slimages.macys.com/is/image/MCY/8759583 </v>
      </c>
      <c r="L28" s="9"/>
    </row>
    <row r="29" spans="1:12" ht="20.100000000000001" customHeight="1" x14ac:dyDescent="0.25">
      <c r="A29" s="12" t="s">
        <v>1296</v>
      </c>
      <c r="B29" s="13">
        <v>13770172</v>
      </c>
      <c r="C29" s="8">
        <v>29927494723</v>
      </c>
      <c r="D29" s="6" t="s">
        <v>24</v>
      </c>
      <c r="E29" s="18">
        <v>1</v>
      </c>
      <c r="F29" s="14">
        <v>9.99</v>
      </c>
      <c r="G29" s="14">
        <v>9.99</v>
      </c>
      <c r="H29" s="7" t="s">
        <v>1095</v>
      </c>
      <c r="I29" s="7" t="s">
        <v>947</v>
      </c>
      <c r="J29" s="7" t="s">
        <v>982</v>
      </c>
      <c r="K29" s="7" t="str">
        <f>HYPERLINK("http://slimages.macys.com/is/image/MCY/8551405 ")</f>
        <v xml:space="preserve">http://slimages.macys.com/is/image/MCY/8551405 </v>
      </c>
      <c r="L29" s="9"/>
    </row>
    <row r="30" spans="1:12" ht="20.100000000000001" customHeight="1" x14ac:dyDescent="0.25">
      <c r="A30" s="12" t="s">
        <v>1296</v>
      </c>
      <c r="B30" s="13">
        <v>13770172</v>
      </c>
      <c r="C30" s="8">
        <v>29927509199</v>
      </c>
      <c r="D30" s="6" t="s">
        <v>25</v>
      </c>
      <c r="E30" s="18">
        <v>2</v>
      </c>
      <c r="F30" s="14">
        <v>19.989999999999998</v>
      </c>
      <c r="G30" s="14">
        <v>39.979999999999997</v>
      </c>
      <c r="H30" s="7" t="s">
        <v>950</v>
      </c>
      <c r="I30" s="7" t="s">
        <v>947</v>
      </c>
      <c r="J30" s="7" t="s">
        <v>982</v>
      </c>
      <c r="K30" s="7" t="str">
        <f>HYPERLINK("http://slimages.macys.com/is/image/MCY/10008415 ")</f>
        <v xml:space="preserve">http://slimages.macys.com/is/image/MCY/10008415 </v>
      </c>
      <c r="L30" s="9"/>
    </row>
    <row r="31" spans="1:12" ht="20.100000000000001" customHeight="1" x14ac:dyDescent="0.25">
      <c r="A31" s="12" t="s">
        <v>1296</v>
      </c>
      <c r="B31" s="13">
        <v>13770172</v>
      </c>
      <c r="C31" s="8">
        <v>29927510805</v>
      </c>
      <c r="D31" s="6" t="s">
        <v>26</v>
      </c>
      <c r="E31" s="18">
        <v>1</v>
      </c>
      <c r="F31" s="14">
        <v>21.99</v>
      </c>
      <c r="G31" s="14">
        <v>21.99</v>
      </c>
      <c r="H31" s="7" t="s">
        <v>981</v>
      </c>
      <c r="I31" s="7" t="s">
        <v>947</v>
      </c>
      <c r="J31" s="7" t="s">
        <v>982</v>
      </c>
      <c r="K31" s="7" t="str">
        <f>HYPERLINK("http://slimages.macys.com/is/image/MCY/9972669 ")</f>
        <v xml:space="preserve">http://slimages.macys.com/is/image/MCY/9972669 </v>
      </c>
      <c r="L31" s="9"/>
    </row>
    <row r="32" spans="1:12" ht="20.100000000000001" customHeight="1" x14ac:dyDescent="0.25">
      <c r="A32" s="12" t="s">
        <v>1296</v>
      </c>
      <c r="B32" s="13">
        <v>13770172</v>
      </c>
      <c r="C32" s="8">
        <v>29927519297</v>
      </c>
      <c r="D32" s="6" t="s">
        <v>27</v>
      </c>
      <c r="E32" s="18">
        <v>2</v>
      </c>
      <c r="F32" s="14">
        <v>17.989999999999998</v>
      </c>
      <c r="G32" s="14">
        <v>35.979999999999997</v>
      </c>
      <c r="H32" s="7" t="s">
        <v>981</v>
      </c>
      <c r="I32" s="7" t="s">
        <v>947</v>
      </c>
      <c r="J32" s="7" t="s">
        <v>982</v>
      </c>
      <c r="K32" s="7" t="str">
        <f>HYPERLINK("http://slimages.macys.com/is/image/MCY/16444017 ")</f>
        <v xml:space="preserve">http://slimages.macys.com/is/image/MCY/16444017 </v>
      </c>
      <c r="L32" s="9"/>
    </row>
    <row r="33" spans="1:12" ht="20.100000000000001" customHeight="1" x14ac:dyDescent="0.25">
      <c r="A33" s="12" t="s">
        <v>1296</v>
      </c>
      <c r="B33" s="13">
        <v>13770172</v>
      </c>
      <c r="C33" s="8">
        <v>29927524918</v>
      </c>
      <c r="D33" s="6" t="s">
        <v>28</v>
      </c>
      <c r="E33" s="18">
        <v>2</v>
      </c>
      <c r="F33" s="14">
        <v>24.99</v>
      </c>
      <c r="G33" s="14">
        <v>49.98</v>
      </c>
      <c r="H33" s="7" t="s">
        <v>1026</v>
      </c>
      <c r="I33" s="7" t="s">
        <v>947</v>
      </c>
      <c r="J33" s="7" t="s">
        <v>982</v>
      </c>
      <c r="K33" s="7" t="str">
        <f>HYPERLINK("http://slimages.macys.com/is/image/MCY/12936265 ")</f>
        <v xml:space="preserve">http://slimages.macys.com/is/image/MCY/12936265 </v>
      </c>
      <c r="L33" s="9"/>
    </row>
    <row r="34" spans="1:12" ht="20.100000000000001" customHeight="1" x14ac:dyDescent="0.25">
      <c r="A34" s="12" t="s">
        <v>1296</v>
      </c>
      <c r="B34" s="13">
        <v>13770172</v>
      </c>
      <c r="C34" s="8">
        <v>29927533101</v>
      </c>
      <c r="D34" s="6" t="s">
        <v>29</v>
      </c>
      <c r="E34" s="18">
        <v>3</v>
      </c>
      <c r="F34" s="14">
        <v>15.99</v>
      </c>
      <c r="G34" s="14">
        <v>47.97</v>
      </c>
      <c r="H34" s="7" t="s">
        <v>433</v>
      </c>
      <c r="I34" s="7" t="s">
        <v>947</v>
      </c>
      <c r="J34" s="7" t="s">
        <v>982</v>
      </c>
      <c r="K34" s="7" t="str">
        <f>HYPERLINK("http://slimages.macys.com/is/image/MCY/10006589 ")</f>
        <v xml:space="preserve">http://slimages.macys.com/is/image/MCY/10006589 </v>
      </c>
      <c r="L34" s="9"/>
    </row>
    <row r="35" spans="1:12" ht="20.100000000000001" customHeight="1" x14ac:dyDescent="0.25">
      <c r="A35" s="12" t="s">
        <v>1296</v>
      </c>
      <c r="B35" s="13">
        <v>13770172</v>
      </c>
      <c r="C35" s="8">
        <v>29927548785</v>
      </c>
      <c r="D35" s="6" t="s">
        <v>1040</v>
      </c>
      <c r="E35" s="18">
        <v>1</v>
      </c>
      <c r="F35" s="14">
        <v>38.99</v>
      </c>
      <c r="G35" s="14">
        <v>38.99</v>
      </c>
      <c r="H35" s="7" t="s">
        <v>941</v>
      </c>
      <c r="I35" s="7" t="s">
        <v>947</v>
      </c>
      <c r="J35" s="7" t="s">
        <v>982</v>
      </c>
      <c r="K35" s="7" t="str">
        <f>HYPERLINK("http://slimages.macys.com/is/image/MCY/16426603 ")</f>
        <v xml:space="preserve">http://slimages.macys.com/is/image/MCY/16426603 </v>
      </c>
      <c r="L35" s="9"/>
    </row>
    <row r="36" spans="1:12" ht="20.100000000000001" customHeight="1" x14ac:dyDescent="0.25">
      <c r="A36" s="12" t="s">
        <v>1296</v>
      </c>
      <c r="B36" s="13">
        <v>13770172</v>
      </c>
      <c r="C36" s="8">
        <v>29927553963</v>
      </c>
      <c r="D36" s="6" t="s">
        <v>30</v>
      </c>
      <c r="E36" s="18">
        <v>3</v>
      </c>
      <c r="F36" s="14">
        <v>29.99</v>
      </c>
      <c r="G36" s="14">
        <v>89.97</v>
      </c>
      <c r="H36" s="7" t="s">
        <v>1016</v>
      </c>
      <c r="I36" s="7" t="s">
        <v>947</v>
      </c>
      <c r="J36" s="7" t="s">
        <v>982</v>
      </c>
      <c r="K36" s="7" t="str">
        <f>HYPERLINK("http://slimages.macys.com/is/image/MCY/12936265 ")</f>
        <v xml:space="preserve">http://slimages.macys.com/is/image/MCY/12936265 </v>
      </c>
      <c r="L36" s="9"/>
    </row>
    <row r="37" spans="1:12" ht="20.100000000000001" customHeight="1" x14ac:dyDescent="0.25">
      <c r="A37" s="12" t="s">
        <v>1296</v>
      </c>
      <c r="B37" s="13">
        <v>13770172</v>
      </c>
      <c r="C37" s="8">
        <v>29927553963</v>
      </c>
      <c r="D37" s="6" t="s">
        <v>30</v>
      </c>
      <c r="E37" s="18">
        <v>1</v>
      </c>
      <c r="F37" s="14">
        <v>29.99</v>
      </c>
      <c r="G37" s="14">
        <v>29.99</v>
      </c>
      <c r="H37" s="7" t="s">
        <v>1016</v>
      </c>
      <c r="I37" s="7" t="s">
        <v>947</v>
      </c>
      <c r="J37" s="7" t="s">
        <v>982</v>
      </c>
      <c r="K37" s="7" t="str">
        <f>HYPERLINK("http://slimages.macys.com/is/image/MCY/12936265 ")</f>
        <v xml:space="preserve">http://slimages.macys.com/is/image/MCY/12936265 </v>
      </c>
      <c r="L37" s="9"/>
    </row>
    <row r="38" spans="1:12" ht="20.100000000000001" customHeight="1" x14ac:dyDescent="0.25">
      <c r="A38" s="12" t="s">
        <v>1296</v>
      </c>
      <c r="B38" s="13">
        <v>13770172</v>
      </c>
      <c r="C38" s="8">
        <v>29927562583</v>
      </c>
      <c r="D38" s="6" t="s">
        <v>31</v>
      </c>
      <c r="E38" s="18">
        <v>3</v>
      </c>
      <c r="F38" s="14">
        <v>29.99</v>
      </c>
      <c r="G38" s="14">
        <v>89.97</v>
      </c>
      <c r="H38" s="7" t="s">
        <v>944</v>
      </c>
      <c r="I38" s="7" t="s">
        <v>947</v>
      </c>
      <c r="J38" s="7" t="s">
        <v>982</v>
      </c>
      <c r="K38" s="7" t="str">
        <f>HYPERLINK("http://slimages.macys.com/is/image/MCY/16059876 ")</f>
        <v xml:space="preserve">http://slimages.macys.com/is/image/MCY/16059876 </v>
      </c>
      <c r="L38" s="9"/>
    </row>
    <row r="39" spans="1:12" ht="20.100000000000001" customHeight="1" x14ac:dyDescent="0.25">
      <c r="A39" s="12" t="s">
        <v>1296</v>
      </c>
      <c r="B39" s="13">
        <v>13770172</v>
      </c>
      <c r="C39" s="8">
        <v>29927565041</v>
      </c>
      <c r="D39" s="6" t="s">
        <v>32</v>
      </c>
      <c r="E39" s="18">
        <v>1</v>
      </c>
      <c r="F39" s="14">
        <v>19.989999999999998</v>
      </c>
      <c r="G39" s="14">
        <v>19.989999999999998</v>
      </c>
      <c r="H39" s="7" t="s">
        <v>981</v>
      </c>
      <c r="I39" s="7" t="s">
        <v>947</v>
      </c>
      <c r="J39" s="7" t="s">
        <v>982</v>
      </c>
      <c r="K39" s="7" t="str">
        <f>HYPERLINK("http://slimages.macys.com/is/image/MCY/16060001 ")</f>
        <v xml:space="preserve">http://slimages.macys.com/is/image/MCY/16060001 </v>
      </c>
      <c r="L39" s="9"/>
    </row>
    <row r="40" spans="1:12" ht="20.100000000000001" customHeight="1" x14ac:dyDescent="0.25">
      <c r="A40" s="12" t="s">
        <v>1296</v>
      </c>
      <c r="B40" s="13">
        <v>13770172</v>
      </c>
      <c r="C40" s="8">
        <v>29927566918</v>
      </c>
      <c r="D40" s="6" t="s">
        <v>33</v>
      </c>
      <c r="E40" s="18">
        <v>2</v>
      </c>
      <c r="F40" s="14">
        <v>21.99</v>
      </c>
      <c r="G40" s="14">
        <v>43.98</v>
      </c>
      <c r="H40" s="7" t="s">
        <v>941</v>
      </c>
      <c r="I40" s="7" t="s">
        <v>947</v>
      </c>
      <c r="J40" s="7" t="s">
        <v>982</v>
      </c>
      <c r="K40" s="7" t="str">
        <f>HYPERLINK("http://slimages.macys.com/is/image/MCY/16061164 ")</f>
        <v xml:space="preserve">http://slimages.macys.com/is/image/MCY/16061164 </v>
      </c>
      <c r="L40" s="9"/>
    </row>
    <row r="41" spans="1:12" ht="20.100000000000001" customHeight="1" x14ac:dyDescent="0.25">
      <c r="A41" s="12" t="s">
        <v>1296</v>
      </c>
      <c r="B41" s="13">
        <v>13770172</v>
      </c>
      <c r="C41" s="8">
        <v>29927575521</v>
      </c>
      <c r="D41" s="6" t="s">
        <v>34</v>
      </c>
      <c r="E41" s="18">
        <v>2</v>
      </c>
      <c r="F41" s="14">
        <v>45</v>
      </c>
      <c r="G41" s="14">
        <v>90</v>
      </c>
      <c r="H41" s="7" t="s">
        <v>938</v>
      </c>
      <c r="I41" s="7" t="s">
        <v>947</v>
      </c>
      <c r="J41" s="7" t="s">
        <v>982</v>
      </c>
      <c r="K41" s="7" t="str">
        <f>HYPERLINK("http://slimages.macys.com/is/image/MCY/17441334 ")</f>
        <v xml:space="preserve">http://slimages.macys.com/is/image/MCY/17441334 </v>
      </c>
      <c r="L41" s="9"/>
    </row>
    <row r="42" spans="1:12" ht="20.100000000000001" customHeight="1" x14ac:dyDescent="0.25">
      <c r="A42" s="12" t="s">
        <v>1296</v>
      </c>
      <c r="B42" s="13">
        <v>13770172</v>
      </c>
      <c r="C42" s="8">
        <v>29927577761</v>
      </c>
      <c r="D42" s="6" t="s">
        <v>35</v>
      </c>
      <c r="E42" s="18">
        <v>1</v>
      </c>
      <c r="F42" s="14">
        <v>25.99</v>
      </c>
      <c r="G42" s="14">
        <v>25.99</v>
      </c>
      <c r="H42" s="7" t="s">
        <v>1036</v>
      </c>
      <c r="I42" s="7" t="s">
        <v>947</v>
      </c>
      <c r="J42" s="7" t="s">
        <v>982</v>
      </c>
      <c r="K42" s="7" t="str">
        <f>HYPERLINK("http://slimages.macys.com/is/image/MCY/17936266 ")</f>
        <v xml:space="preserve">http://slimages.macys.com/is/image/MCY/17936266 </v>
      </c>
      <c r="L42" s="9"/>
    </row>
    <row r="43" spans="1:12" ht="20.100000000000001" customHeight="1" x14ac:dyDescent="0.25">
      <c r="A43" s="12" t="s">
        <v>1296</v>
      </c>
      <c r="B43" s="13">
        <v>13770172</v>
      </c>
      <c r="C43" s="8">
        <v>29927578706</v>
      </c>
      <c r="D43" s="6" t="s">
        <v>36</v>
      </c>
      <c r="E43" s="18">
        <v>1</v>
      </c>
      <c r="F43" s="14">
        <v>35.99</v>
      </c>
      <c r="G43" s="14">
        <v>35.99</v>
      </c>
      <c r="H43" s="7" t="s">
        <v>981</v>
      </c>
      <c r="I43" s="7" t="s">
        <v>947</v>
      </c>
      <c r="J43" s="7" t="s">
        <v>982</v>
      </c>
      <c r="K43" s="7" t="str">
        <f>HYPERLINK("http://slimages.macys.com/is/image/MCY/17939007 ")</f>
        <v xml:space="preserve">http://slimages.macys.com/is/image/MCY/17939007 </v>
      </c>
      <c r="L43" s="9"/>
    </row>
    <row r="44" spans="1:12" ht="20.100000000000001" customHeight="1" x14ac:dyDescent="0.25">
      <c r="A44" s="12" t="s">
        <v>1296</v>
      </c>
      <c r="B44" s="13">
        <v>13770172</v>
      </c>
      <c r="C44" s="8">
        <v>29927578706</v>
      </c>
      <c r="D44" s="6" t="s">
        <v>36</v>
      </c>
      <c r="E44" s="18">
        <v>1</v>
      </c>
      <c r="F44" s="14">
        <v>35.99</v>
      </c>
      <c r="G44" s="14">
        <v>35.99</v>
      </c>
      <c r="H44" s="7" t="s">
        <v>981</v>
      </c>
      <c r="I44" s="7" t="s">
        <v>947</v>
      </c>
      <c r="J44" s="7" t="s">
        <v>982</v>
      </c>
      <c r="K44" s="7" t="str">
        <f>HYPERLINK("http://slimages.macys.com/is/image/MCY/17939007 ")</f>
        <v xml:space="preserve">http://slimages.macys.com/is/image/MCY/17939007 </v>
      </c>
      <c r="L44" s="9"/>
    </row>
    <row r="45" spans="1:12" ht="20.100000000000001" customHeight="1" x14ac:dyDescent="0.25">
      <c r="A45" s="12" t="s">
        <v>1296</v>
      </c>
      <c r="B45" s="13">
        <v>13770172</v>
      </c>
      <c r="C45" s="8">
        <v>29927587685</v>
      </c>
      <c r="D45" s="6" t="s">
        <v>37</v>
      </c>
      <c r="E45" s="18">
        <v>1</v>
      </c>
      <c r="F45" s="14">
        <v>12.99</v>
      </c>
      <c r="G45" s="14">
        <v>12.99</v>
      </c>
      <c r="H45" s="7" t="s">
        <v>991</v>
      </c>
      <c r="I45" s="7" t="s">
        <v>947</v>
      </c>
      <c r="J45" s="7" t="s">
        <v>982</v>
      </c>
      <c r="K45" s="7" t="str">
        <f>HYPERLINK("http://slimages.macys.com/is/image/MCY/18636470 ")</f>
        <v xml:space="preserve">http://slimages.macys.com/is/image/MCY/18636470 </v>
      </c>
      <c r="L45" s="9"/>
    </row>
    <row r="46" spans="1:12" ht="20.100000000000001" customHeight="1" x14ac:dyDescent="0.25">
      <c r="A46" s="12" t="s">
        <v>1296</v>
      </c>
      <c r="B46" s="13">
        <v>13770172</v>
      </c>
      <c r="C46" s="8">
        <v>32281183905</v>
      </c>
      <c r="D46" s="6" t="s">
        <v>38</v>
      </c>
      <c r="E46" s="18">
        <v>1</v>
      </c>
      <c r="F46" s="14">
        <v>14.99</v>
      </c>
      <c r="G46" s="14">
        <v>14.99</v>
      </c>
      <c r="H46" s="7"/>
      <c r="I46" s="7" t="s">
        <v>1342</v>
      </c>
      <c r="J46" s="7" t="s">
        <v>1210</v>
      </c>
      <c r="K46" s="7" t="str">
        <f>HYPERLINK("http://slimages.macys.com/is/image/MCY/18809651 ")</f>
        <v xml:space="preserve">http://slimages.macys.com/is/image/MCY/18809651 </v>
      </c>
      <c r="L46" s="9"/>
    </row>
    <row r="47" spans="1:12" ht="20.100000000000001" customHeight="1" x14ac:dyDescent="0.25">
      <c r="A47" s="12" t="s">
        <v>1296</v>
      </c>
      <c r="B47" s="13">
        <v>13770172</v>
      </c>
      <c r="C47" s="8">
        <v>32281633028</v>
      </c>
      <c r="D47" s="6" t="s">
        <v>39</v>
      </c>
      <c r="E47" s="18">
        <v>1</v>
      </c>
      <c r="F47" s="14">
        <v>29.99</v>
      </c>
      <c r="G47" s="14">
        <v>29.99</v>
      </c>
      <c r="H47" s="7"/>
      <c r="I47" s="7" t="s">
        <v>1342</v>
      </c>
      <c r="J47" s="7" t="s">
        <v>1210</v>
      </c>
      <c r="K47" s="7" t="str">
        <f>HYPERLINK("http://slimages.macys.com/is/image/MCY/19141000 ")</f>
        <v xml:space="preserve">http://slimages.macys.com/is/image/MCY/19141000 </v>
      </c>
      <c r="L47" s="9"/>
    </row>
    <row r="48" spans="1:12" ht="20.100000000000001" customHeight="1" x14ac:dyDescent="0.25">
      <c r="A48" s="12" t="s">
        <v>1296</v>
      </c>
      <c r="B48" s="13">
        <v>13770172</v>
      </c>
      <c r="C48" s="8">
        <v>38992925131</v>
      </c>
      <c r="D48" s="6" t="s">
        <v>40</v>
      </c>
      <c r="E48" s="18">
        <v>1</v>
      </c>
      <c r="F48" s="14">
        <v>379.99</v>
      </c>
      <c r="G48" s="14">
        <v>379.99</v>
      </c>
      <c r="H48" s="7" t="s">
        <v>997</v>
      </c>
      <c r="I48" s="7" t="s">
        <v>966</v>
      </c>
      <c r="J48" s="7" t="s">
        <v>998</v>
      </c>
      <c r="K48" s="7" t="str">
        <f>HYPERLINK("http://slimages.macys.com/is/image/MCY/12000731 ")</f>
        <v xml:space="preserve">http://slimages.macys.com/is/image/MCY/12000731 </v>
      </c>
      <c r="L48" s="9"/>
    </row>
    <row r="49" spans="1:12" ht="20.100000000000001" customHeight="1" x14ac:dyDescent="0.25">
      <c r="A49" s="12" t="s">
        <v>1296</v>
      </c>
      <c r="B49" s="13">
        <v>13770172</v>
      </c>
      <c r="C49" s="8">
        <v>38992933938</v>
      </c>
      <c r="D49" s="6" t="s">
        <v>41</v>
      </c>
      <c r="E49" s="18">
        <v>1</v>
      </c>
      <c r="F49" s="14">
        <v>49.99</v>
      </c>
      <c r="G49" s="14">
        <v>49.99</v>
      </c>
      <c r="H49" s="7" t="s">
        <v>1062</v>
      </c>
      <c r="I49" s="7" t="s">
        <v>966</v>
      </c>
      <c r="J49" s="7" t="s">
        <v>998</v>
      </c>
      <c r="K49" s="7" t="str">
        <f>HYPERLINK("http://slimages.macys.com/is/image/MCY/15920478 ")</f>
        <v xml:space="preserve">http://slimages.macys.com/is/image/MCY/15920478 </v>
      </c>
      <c r="L49" s="9"/>
    </row>
    <row r="50" spans="1:12" ht="20.100000000000001" customHeight="1" x14ac:dyDescent="0.25">
      <c r="A50" s="12" t="s">
        <v>1296</v>
      </c>
      <c r="B50" s="13">
        <v>13770172</v>
      </c>
      <c r="C50" s="8">
        <v>38992933938</v>
      </c>
      <c r="D50" s="6" t="s">
        <v>41</v>
      </c>
      <c r="E50" s="18">
        <v>1</v>
      </c>
      <c r="F50" s="14">
        <v>49.99</v>
      </c>
      <c r="G50" s="14">
        <v>49.99</v>
      </c>
      <c r="H50" s="7" t="s">
        <v>1062</v>
      </c>
      <c r="I50" s="7" t="s">
        <v>966</v>
      </c>
      <c r="J50" s="7" t="s">
        <v>998</v>
      </c>
      <c r="K50" s="7" t="str">
        <f>HYPERLINK("http://slimages.macys.com/is/image/MCY/15920478 ")</f>
        <v xml:space="preserve">http://slimages.macys.com/is/image/MCY/15920478 </v>
      </c>
      <c r="L50" s="9"/>
    </row>
    <row r="51" spans="1:12" ht="20.100000000000001" customHeight="1" x14ac:dyDescent="0.25">
      <c r="A51" s="12" t="s">
        <v>1296</v>
      </c>
      <c r="B51" s="13">
        <v>13770172</v>
      </c>
      <c r="C51" s="8">
        <v>42075551810</v>
      </c>
      <c r="D51" s="6" t="s">
        <v>42</v>
      </c>
      <c r="E51" s="18">
        <v>1</v>
      </c>
      <c r="F51" s="14">
        <v>129.99</v>
      </c>
      <c r="G51" s="14">
        <v>129.99</v>
      </c>
      <c r="H51" s="7" t="s">
        <v>944</v>
      </c>
      <c r="I51" s="7" t="s">
        <v>999</v>
      </c>
      <c r="J51" s="7" t="s">
        <v>1000</v>
      </c>
      <c r="K51" s="7" t="str">
        <f>HYPERLINK("http://slimages.macys.com/is/image/MCY/11531889 ")</f>
        <v xml:space="preserve">http://slimages.macys.com/is/image/MCY/11531889 </v>
      </c>
      <c r="L51" s="9"/>
    </row>
    <row r="52" spans="1:12" ht="20.100000000000001" customHeight="1" x14ac:dyDescent="0.25">
      <c r="A52" s="12" t="s">
        <v>1296</v>
      </c>
      <c r="B52" s="13">
        <v>13770172</v>
      </c>
      <c r="C52" s="8">
        <v>42075593896</v>
      </c>
      <c r="D52" s="6" t="s">
        <v>43</v>
      </c>
      <c r="E52" s="18">
        <v>1</v>
      </c>
      <c r="F52" s="14">
        <v>49.99</v>
      </c>
      <c r="G52" s="14">
        <v>49.99</v>
      </c>
      <c r="H52" s="7" t="s">
        <v>944</v>
      </c>
      <c r="I52" s="7" t="s">
        <v>958</v>
      </c>
      <c r="J52" s="7" t="s">
        <v>1102</v>
      </c>
      <c r="K52" s="7" t="str">
        <f>HYPERLINK("http://slimages.macys.com/is/image/MCY/16637947 ")</f>
        <v xml:space="preserve">http://slimages.macys.com/is/image/MCY/16637947 </v>
      </c>
    </row>
    <row r="53" spans="1:12" ht="20.100000000000001" customHeight="1" x14ac:dyDescent="0.25">
      <c r="A53" s="12" t="s">
        <v>1296</v>
      </c>
      <c r="B53" s="13">
        <v>13770172</v>
      </c>
      <c r="C53" s="8">
        <v>42075593902</v>
      </c>
      <c r="D53" s="6" t="s">
        <v>44</v>
      </c>
      <c r="E53" s="18">
        <v>1</v>
      </c>
      <c r="F53" s="14">
        <v>29.99</v>
      </c>
      <c r="G53" s="14">
        <v>29.99</v>
      </c>
      <c r="H53" s="7" t="s">
        <v>944</v>
      </c>
      <c r="I53" s="7" t="s">
        <v>958</v>
      </c>
      <c r="J53" s="7" t="s">
        <v>1102</v>
      </c>
      <c r="K53" s="7" t="str">
        <f>HYPERLINK("http://slimages.macys.com/is/image/MCY/16637952 ")</f>
        <v xml:space="preserve">http://slimages.macys.com/is/image/MCY/16637952 </v>
      </c>
    </row>
    <row r="54" spans="1:12" ht="20.100000000000001" customHeight="1" x14ac:dyDescent="0.25">
      <c r="A54" s="12" t="s">
        <v>1296</v>
      </c>
      <c r="B54" s="13">
        <v>13770172</v>
      </c>
      <c r="C54" s="8">
        <v>42075593919</v>
      </c>
      <c r="D54" s="6" t="s">
        <v>45</v>
      </c>
      <c r="E54" s="18">
        <v>1</v>
      </c>
      <c r="F54" s="14">
        <v>14.99</v>
      </c>
      <c r="G54" s="14">
        <v>14.99</v>
      </c>
      <c r="H54" s="7" t="s">
        <v>944</v>
      </c>
      <c r="I54" s="7" t="s">
        <v>958</v>
      </c>
      <c r="J54" s="7" t="s">
        <v>1102</v>
      </c>
      <c r="K54" s="7" t="str">
        <f>HYPERLINK("http://slimages.macys.com/is/image/MCY/16637936 ")</f>
        <v xml:space="preserve">http://slimages.macys.com/is/image/MCY/16637936 </v>
      </c>
    </row>
    <row r="55" spans="1:12" ht="20.100000000000001" customHeight="1" x14ac:dyDescent="0.25">
      <c r="A55" s="12" t="s">
        <v>1296</v>
      </c>
      <c r="B55" s="13">
        <v>13770172</v>
      </c>
      <c r="C55" s="8">
        <v>42437023382</v>
      </c>
      <c r="D55" s="6" t="s">
        <v>46</v>
      </c>
      <c r="E55" s="18">
        <v>2</v>
      </c>
      <c r="F55" s="14">
        <v>32.99</v>
      </c>
      <c r="G55" s="14">
        <v>65.98</v>
      </c>
      <c r="H55" s="7" t="s">
        <v>1036</v>
      </c>
      <c r="I55" s="7" t="s">
        <v>958</v>
      </c>
      <c r="J55" s="7" t="s">
        <v>1219</v>
      </c>
      <c r="K55" s="7" t="str">
        <f>HYPERLINK("http://slimages.macys.com/is/image/MCY/14465087 ")</f>
        <v xml:space="preserve">http://slimages.macys.com/is/image/MCY/14465087 </v>
      </c>
    </row>
    <row r="56" spans="1:12" ht="20.100000000000001" customHeight="1" x14ac:dyDescent="0.25">
      <c r="A56" s="12" t="s">
        <v>1296</v>
      </c>
      <c r="B56" s="13">
        <v>13770172</v>
      </c>
      <c r="C56" s="8">
        <v>46249646616</v>
      </c>
      <c r="D56" s="6" t="s">
        <v>47</v>
      </c>
      <c r="E56" s="18">
        <v>1</v>
      </c>
      <c r="F56" s="14">
        <v>7.99</v>
      </c>
      <c r="G56" s="14">
        <v>7.99</v>
      </c>
      <c r="H56" s="7" t="s">
        <v>1236</v>
      </c>
      <c r="I56" s="7" t="s">
        <v>1033</v>
      </c>
      <c r="J56" s="7" t="s">
        <v>1075</v>
      </c>
      <c r="K56" s="7" t="str">
        <f>HYPERLINK("http://slimages.macys.com/is/image/MCY/17492917 ")</f>
        <v xml:space="preserve">http://slimages.macys.com/is/image/MCY/17492917 </v>
      </c>
    </row>
    <row r="57" spans="1:12" ht="20.100000000000001" customHeight="1" x14ac:dyDescent="0.25">
      <c r="A57" s="12" t="s">
        <v>1296</v>
      </c>
      <c r="B57" s="13">
        <v>13770172</v>
      </c>
      <c r="C57" s="8">
        <v>46249646791</v>
      </c>
      <c r="D57" s="6" t="s">
        <v>48</v>
      </c>
      <c r="E57" s="18">
        <v>1</v>
      </c>
      <c r="F57" s="14">
        <v>7.99</v>
      </c>
      <c r="G57" s="14">
        <v>7.99</v>
      </c>
      <c r="H57" s="7" t="s">
        <v>1217</v>
      </c>
      <c r="I57" s="7" t="s">
        <v>1033</v>
      </c>
      <c r="J57" s="7" t="s">
        <v>1075</v>
      </c>
      <c r="K57" s="7" t="str">
        <f>HYPERLINK("http://slimages.macys.com/is/image/MCY/17492917 ")</f>
        <v xml:space="preserve">http://slimages.macys.com/is/image/MCY/17492917 </v>
      </c>
    </row>
    <row r="58" spans="1:12" ht="20.100000000000001" customHeight="1" x14ac:dyDescent="0.25">
      <c r="A58" s="12" t="s">
        <v>1296</v>
      </c>
      <c r="B58" s="13">
        <v>13770172</v>
      </c>
      <c r="C58" s="8">
        <v>46249646807</v>
      </c>
      <c r="D58" s="6" t="s">
        <v>49</v>
      </c>
      <c r="E58" s="18">
        <v>1</v>
      </c>
      <c r="F58" s="14">
        <v>5.99</v>
      </c>
      <c r="G58" s="14">
        <v>5.99</v>
      </c>
      <c r="H58" s="7" t="s">
        <v>1217</v>
      </c>
      <c r="I58" s="7" t="s">
        <v>1033</v>
      </c>
      <c r="J58" s="7" t="s">
        <v>1075</v>
      </c>
      <c r="K58" s="7" t="str">
        <f>HYPERLINK("http://slimages.macys.com/is/image/MCY/17493081 ")</f>
        <v xml:space="preserve">http://slimages.macys.com/is/image/MCY/17493081 </v>
      </c>
    </row>
    <row r="59" spans="1:12" ht="20.100000000000001" customHeight="1" x14ac:dyDescent="0.25">
      <c r="A59" s="12" t="s">
        <v>1296</v>
      </c>
      <c r="B59" s="13">
        <v>13770172</v>
      </c>
      <c r="C59" s="8">
        <v>47293449260</v>
      </c>
      <c r="D59" s="6" t="s">
        <v>50</v>
      </c>
      <c r="E59" s="18">
        <v>2</v>
      </c>
      <c r="F59" s="14">
        <v>79.989999999999995</v>
      </c>
      <c r="G59" s="14">
        <v>159.97999999999999</v>
      </c>
      <c r="H59" s="7" t="s">
        <v>952</v>
      </c>
      <c r="I59" s="7" t="s">
        <v>942</v>
      </c>
      <c r="J59" s="7" t="s">
        <v>1185</v>
      </c>
      <c r="K59" s="7" t="str">
        <f>HYPERLINK("http://slimages.macys.com/is/image/MCY/10982712 ")</f>
        <v xml:space="preserve">http://slimages.macys.com/is/image/MCY/10982712 </v>
      </c>
    </row>
    <row r="60" spans="1:12" ht="20.100000000000001" customHeight="1" x14ac:dyDescent="0.25">
      <c r="A60" s="12" t="s">
        <v>1296</v>
      </c>
      <c r="B60" s="13">
        <v>13770172</v>
      </c>
      <c r="C60" s="8">
        <v>54006626856</v>
      </c>
      <c r="D60" s="6" t="s">
        <v>51</v>
      </c>
      <c r="E60" s="18">
        <v>1</v>
      </c>
      <c r="F60" s="14">
        <v>34.99</v>
      </c>
      <c r="G60" s="14">
        <v>34.99</v>
      </c>
      <c r="H60" s="7" t="s">
        <v>1032</v>
      </c>
      <c r="I60" s="7" t="s">
        <v>947</v>
      </c>
      <c r="J60" s="7" t="s">
        <v>1060</v>
      </c>
      <c r="K60" s="7" t="str">
        <f>HYPERLINK("http://slimages.macys.com/is/image/MCY/11685937 ")</f>
        <v xml:space="preserve">http://slimages.macys.com/is/image/MCY/11685937 </v>
      </c>
    </row>
    <row r="61" spans="1:12" ht="20.100000000000001" customHeight="1" x14ac:dyDescent="0.25">
      <c r="A61" s="12" t="s">
        <v>1296</v>
      </c>
      <c r="B61" s="13">
        <v>13770172</v>
      </c>
      <c r="C61" s="8">
        <v>54006631270</v>
      </c>
      <c r="D61" s="6" t="s">
        <v>52</v>
      </c>
      <c r="E61" s="18">
        <v>1</v>
      </c>
      <c r="F61" s="14">
        <v>28.99</v>
      </c>
      <c r="G61" s="14">
        <v>28.99</v>
      </c>
      <c r="H61" s="7" t="s">
        <v>987</v>
      </c>
      <c r="I61" s="7" t="s">
        <v>947</v>
      </c>
      <c r="J61" s="7" t="s">
        <v>1060</v>
      </c>
      <c r="K61" s="7" t="str">
        <f>HYPERLINK("http://slimages.macys.com/is/image/MCY/11686116 ")</f>
        <v xml:space="preserve">http://slimages.macys.com/is/image/MCY/11686116 </v>
      </c>
    </row>
    <row r="62" spans="1:12" ht="20.100000000000001" customHeight="1" x14ac:dyDescent="0.25">
      <c r="A62" s="12" t="s">
        <v>1296</v>
      </c>
      <c r="B62" s="13">
        <v>13770172</v>
      </c>
      <c r="C62" s="8">
        <v>54006631270</v>
      </c>
      <c r="D62" s="6" t="s">
        <v>52</v>
      </c>
      <c r="E62" s="18">
        <v>2</v>
      </c>
      <c r="F62" s="14">
        <v>28.99</v>
      </c>
      <c r="G62" s="14">
        <v>57.98</v>
      </c>
      <c r="H62" s="7" t="s">
        <v>987</v>
      </c>
      <c r="I62" s="7" t="s">
        <v>947</v>
      </c>
      <c r="J62" s="7" t="s">
        <v>1060</v>
      </c>
      <c r="K62" s="7" t="str">
        <f>HYPERLINK("http://slimages.macys.com/is/image/MCY/11686116 ")</f>
        <v xml:space="preserve">http://slimages.macys.com/is/image/MCY/11686116 </v>
      </c>
    </row>
    <row r="63" spans="1:12" ht="20.100000000000001" customHeight="1" x14ac:dyDescent="0.25">
      <c r="A63" s="12" t="s">
        <v>1296</v>
      </c>
      <c r="B63" s="13">
        <v>13770172</v>
      </c>
      <c r="C63" s="8">
        <v>64247029330</v>
      </c>
      <c r="D63" s="6" t="s">
        <v>53</v>
      </c>
      <c r="E63" s="18">
        <v>3</v>
      </c>
      <c r="F63" s="14">
        <v>102.99</v>
      </c>
      <c r="G63" s="14">
        <v>308.97000000000003</v>
      </c>
      <c r="H63" s="7" t="s">
        <v>938</v>
      </c>
      <c r="I63" s="7" t="s">
        <v>947</v>
      </c>
      <c r="J63" s="7" t="s">
        <v>1037</v>
      </c>
      <c r="K63" s="7" t="str">
        <f>HYPERLINK("http://slimages.macys.com/is/image/MCY/15526689 ")</f>
        <v xml:space="preserve">http://slimages.macys.com/is/image/MCY/15526689 </v>
      </c>
    </row>
    <row r="64" spans="1:12" ht="20.100000000000001" customHeight="1" x14ac:dyDescent="0.25">
      <c r="A64" s="12" t="s">
        <v>1296</v>
      </c>
      <c r="B64" s="13">
        <v>13770172</v>
      </c>
      <c r="C64" s="8">
        <v>76389010091</v>
      </c>
      <c r="D64" s="6" t="s">
        <v>54</v>
      </c>
      <c r="E64" s="18">
        <v>1</v>
      </c>
      <c r="F64" s="14">
        <v>18.989999999999998</v>
      </c>
      <c r="G64" s="14">
        <v>18.989999999999998</v>
      </c>
      <c r="H64" s="7" t="s">
        <v>997</v>
      </c>
      <c r="I64" s="7" t="s">
        <v>947</v>
      </c>
      <c r="J64" s="7" t="s">
        <v>1019</v>
      </c>
      <c r="K64" s="7" t="str">
        <f>HYPERLINK("http://slimages.macys.com/is/image/MCY/3851082 ")</f>
        <v xml:space="preserve">http://slimages.macys.com/is/image/MCY/3851082 </v>
      </c>
    </row>
    <row r="65" spans="1:11" ht="20.100000000000001" customHeight="1" x14ac:dyDescent="0.25">
      <c r="A65" s="12" t="s">
        <v>1296</v>
      </c>
      <c r="B65" s="13">
        <v>13770172</v>
      </c>
      <c r="C65" s="8">
        <v>81806611614</v>
      </c>
      <c r="D65" s="6" t="s">
        <v>55</v>
      </c>
      <c r="E65" s="18">
        <v>1</v>
      </c>
      <c r="F65" s="14">
        <v>79.989999999999995</v>
      </c>
      <c r="G65" s="14">
        <v>79.989999999999995</v>
      </c>
      <c r="H65" s="7" t="s">
        <v>941</v>
      </c>
      <c r="I65" s="7" t="s">
        <v>945</v>
      </c>
      <c r="J65" s="7" t="s">
        <v>1189</v>
      </c>
      <c r="K65" s="7" t="str">
        <f>HYPERLINK("http://slimages.macys.com/is/image/MCY/18669070 ")</f>
        <v xml:space="preserve">http://slimages.macys.com/is/image/MCY/18669070 </v>
      </c>
    </row>
    <row r="66" spans="1:11" ht="20.100000000000001" customHeight="1" x14ac:dyDescent="0.25">
      <c r="A66" s="12" t="s">
        <v>1296</v>
      </c>
      <c r="B66" s="13">
        <v>13770172</v>
      </c>
      <c r="C66" s="8">
        <v>86569062123</v>
      </c>
      <c r="D66" s="6" t="s">
        <v>56</v>
      </c>
      <c r="E66" s="18">
        <v>1</v>
      </c>
      <c r="F66" s="14">
        <v>29.99</v>
      </c>
      <c r="G66" s="14">
        <v>29.99</v>
      </c>
      <c r="H66" s="7" t="s">
        <v>952</v>
      </c>
      <c r="I66" s="7" t="s">
        <v>966</v>
      </c>
      <c r="J66" s="7" t="s">
        <v>1371</v>
      </c>
      <c r="K66" s="7" t="str">
        <f>HYPERLINK("http://slimages.macys.com/is/image/MCY/9418830 ")</f>
        <v xml:space="preserve">http://slimages.macys.com/is/image/MCY/9418830 </v>
      </c>
    </row>
    <row r="67" spans="1:11" ht="20.100000000000001" customHeight="1" x14ac:dyDescent="0.25">
      <c r="A67" s="12" t="s">
        <v>1296</v>
      </c>
      <c r="B67" s="13">
        <v>13770172</v>
      </c>
      <c r="C67" s="8">
        <v>86569063595</v>
      </c>
      <c r="D67" s="6" t="s">
        <v>57</v>
      </c>
      <c r="E67" s="18">
        <v>2</v>
      </c>
      <c r="F67" s="14">
        <v>121.99</v>
      </c>
      <c r="G67" s="14">
        <v>243.98</v>
      </c>
      <c r="H67" s="7" t="s">
        <v>968</v>
      </c>
      <c r="I67" s="7" t="s">
        <v>945</v>
      </c>
      <c r="J67" s="7" t="s">
        <v>955</v>
      </c>
      <c r="K67" s="7" t="str">
        <f>HYPERLINK("http://slimages.macys.com/is/image/MCY/12498930 ")</f>
        <v xml:space="preserve">http://slimages.macys.com/is/image/MCY/12498930 </v>
      </c>
    </row>
    <row r="68" spans="1:11" ht="20.100000000000001" customHeight="1" x14ac:dyDescent="0.25">
      <c r="A68" s="12" t="s">
        <v>1296</v>
      </c>
      <c r="B68" s="13">
        <v>13770172</v>
      </c>
      <c r="C68" s="8">
        <v>86569066480</v>
      </c>
      <c r="D68" s="6" t="s">
        <v>58</v>
      </c>
      <c r="E68" s="18">
        <v>1</v>
      </c>
      <c r="F68" s="14">
        <v>109.99</v>
      </c>
      <c r="G68" s="14">
        <v>109.99</v>
      </c>
      <c r="H68" s="7" t="s">
        <v>944</v>
      </c>
      <c r="I68" s="7" t="s">
        <v>945</v>
      </c>
      <c r="J68" s="7" t="s">
        <v>955</v>
      </c>
      <c r="K68" s="7" t="str">
        <f>HYPERLINK("http://slimages.macys.com/is/image/MCY/9798730 ")</f>
        <v xml:space="preserve">http://slimages.macys.com/is/image/MCY/9798730 </v>
      </c>
    </row>
    <row r="69" spans="1:11" ht="20.100000000000001" customHeight="1" x14ac:dyDescent="0.25">
      <c r="A69" s="12" t="s">
        <v>1296</v>
      </c>
      <c r="B69" s="13">
        <v>13770172</v>
      </c>
      <c r="C69" s="8">
        <v>86569099679</v>
      </c>
      <c r="D69" s="6" t="s">
        <v>59</v>
      </c>
      <c r="E69" s="18">
        <v>1</v>
      </c>
      <c r="F69" s="14">
        <v>79.989999999999995</v>
      </c>
      <c r="G69" s="14">
        <v>79.989999999999995</v>
      </c>
      <c r="H69" s="7" t="s">
        <v>952</v>
      </c>
      <c r="I69" s="7" t="s">
        <v>1017</v>
      </c>
      <c r="J69" s="7" t="s">
        <v>1176</v>
      </c>
      <c r="K69" s="7" t="str">
        <f>HYPERLINK("http://slimages.macys.com/is/image/MCY/15144360 ")</f>
        <v xml:space="preserve">http://slimages.macys.com/is/image/MCY/15144360 </v>
      </c>
    </row>
    <row r="70" spans="1:11" ht="20.100000000000001" customHeight="1" x14ac:dyDescent="0.25">
      <c r="A70" s="12" t="s">
        <v>1296</v>
      </c>
      <c r="B70" s="13">
        <v>13770172</v>
      </c>
      <c r="C70" s="8">
        <v>86569170408</v>
      </c>
      <c r="D70" s="6" t="s">
        <v>60</v>
      </c>
      <c r="E70" s="18">
        <v>1</v>
      </c>
      <c r="F70" s="14">
        <v>29.99</v>
      </c>
      <c r="G70" s="14">
        <v>29.99</v>
      </c>
      <c r="H70" s="7" t="s">
        <v>1050</v>
      </c>
      <c r="I70" s="7" t="s">
        <v>958</v>
      </c>
      <c r="J70" s="7" t="s">
        <v>955</v>
      </c>
      <c r="K70" s="7" t="str">
        <f>HYPERLINK("http://slimages.macys.com/is/image/MCY/11703237 ")</f>
        <v xml:space="preserve">http://slimages.macys.com/is/image/MCY/11703237 </v>
      </c>
    </row>
    <row r="71" spans="1:11" ht="20.100000000000001" customHeight="1" x14ac:dyDescent="0.25">
      <c r="A71" s="12" t="s">
        <v>1296</v>
      </c>
      <c r="B71" s="13">
        <v>13770172</v>
      </c>
      <c r="C71" s="8">
        <v>86569193612</v>
      </c>
      <c r="D71" s="6" t="s">
        <v>666</v>
      </c>
      <c r="E71" s="18">
        <v>2</v>
      </c>
      <c r="F71" s="14">
        <v>120.99</v>
      </c>
      <c r="G71" s="14">
        <v>241.98</v>
      </c>
      <c r="H71" s="7" t="s">
        <v>952</v>
      </c>
      <c r="I71" s="7" t="s">
        <v>945</v>
      </c>
      <c r="J71" s="7" t="s">
        <v>955</v>
      </c>
      <c r="K71" s="7" t="str">
        <f>HYPERLINK("http://slimages.macys.com/is/image/MCY/14429313 ")</f>
        <v xml:space="preserve">http://slimages.macys.com/is/image/MCY/14429313 </v>
      </c>
    </row>
    <row r="72" spans="1:11" ht="20.100000000000001" customHeight="1" x14ac:dyDescent="0.25">
      <c r="A72" s="12" t="s">
        <v>1296</v>
      </c>
      <c r="B72" s="13">
        <v>13770172</v>
      </c>
      <c r="C72" s="8">
        <v>86569248985</v>
      </c>
      <c r="D72" s="6" t="s">
        <v>1194</v>
      </c>
      <c r="E72" s="18">
        <v>1</v>
      </c>
      <c r="F72" s="14">
        <v>29.99</v>
      </c>
      <c r="G72" s="14">
        <v>29.99</v>
      </c>
      <c r="H72" s="7" t="s">
        <v>950</v>
      </c>
      <c r="I72" s="7" t="s">
        <v>958</v>
      </c>
      <c r="J72" s="7" t="s">
        <v>955</v>
      </c>
      <c r="K72" s="7" t="str">
        <f>HYPERLINK("http://slimages.macys.com/is/image/MCY/17075838 ")</f>
        <v xml:space="preserve">http://slimages.macys.com/is/image/MCY/17075838 </v>
      </c>
    </row>
    <row r="73" spans="1:11" ht="20.100000000000001" customHeight="1" x14ac:dyDescent="0.25">
      <c r="A73" s="12" t="s">
        <v>1296</v>
      </c>
      <c r="B73" s="13">
        <v>13770172</v>
      </c>
      <c r="C73" s="8">
        <v>86569363442</v>
      </c>
      <c r="D73" s="6" t="s">
        <v>1289</v>
      </c>
      <c r="E73" s="18">
        <v>1</v>
      </c>
      <c r="F73" s="14">
        <v>47.99</v>
      </c>
      <c r="G73" s="14">
        <v>47.99</v>
      </c>
      <c r="H73" s="7" t="s">
        <v>952</v>
      </c>
      <c r="I73" s="7" t="s">
        <v>1011</v>
      </c>
      <c r="J73" s="7" t="s">
        <v>1042</v>
      </c>
      <c r="K73" s="7" t="str">
        <f>HYPERLINK("http://slimages.macys.com/is/image/MCY/9489266 ")</f>
        <v xml:space="preserve">http://slimages.macys.com/is/image/MCY/9489266 </v>
      </c>
    </row>
    <row r="74" spans="1:11" ht="20.100000000000001" customHeight="1" x14ac:dyDescent="0.25">
      <c r="A74" s="12" t="s">
        <v>1296</v>
      </c>
      <c r="B74" s="13">
        <v>13770172</v>
      </c>
      <c r="C74" s="8">
        <v>86569404565</v>
      </c>
      <c r="D74" s="6" t="s">
        <v>61</v>
      </c>
      <c r="E74" s="18">
        <v>1</v>
      </c>
      <c r="F74" s="14">
        <v>79.989999999999995</v>
      </c>
      <c r="G74" s="14">
        <v>79.989999999999995</v>
      </c>
      <c r="H74" s="7" t="s">
        <v>1041</v>
      </c>
      <c r="I74" s="7" t="s">
        <v>1017</v>
      </c>
      <c r="J74" s="7" t="s">
        <v>955</v>
      </c>
      <c r="K74" s="7" t="str">
        <f>HYPERLINK("http://slimages.macys.com/is/image/MCY/18302877 ")</f>
        <v xml:space="preserve">http://slimages.macys.com/is/image/MCY/18302877 </v>
      </c>
    </row>
    <row r="75" spans="1:11" ht="20.100000000000001" customHeight="1" x14ac:dyDescent="0.25">
      <c r="A75" s="12" t="s">
        <v>1296</v>
      </c>
      <c r="B75" s="13">
        <v>13770172</v>
      </c>
      <c r="C75" s="8">
        <v>86569496799</v>
      </c>
      <c r="D75" s="6" t="s">
        <v>669</v>
      </c>
      <c r="E75" s="18">
        <v>1</v>
      </c>
      <c r="F75" s="14">
        <v>69.989999999999995</v>
      </c>
      <c r="G75" s="14">
        <v>69.989999999999995</v>
      </c>
      <c r="H75" s="7" t="s">
        <v>941</v>
      </c>
      <c r="I75" s="7" t="s">
        <v>945</v>
      </c>
      <c r="J75" s="7" t="s">
        <v>955</v>
      </c>
      <c r="K75" s="7" t="str">
        <f>HYPERLINK("http://slimages.macys.com/is/image/MCY/18974231 ")</f>
        <v xml:space="preserve">http://slimages.macys.com/is/image/MCY/18974231 </v>
      </c>
    </row>
    <row r="76" spans="1:11" ht="20.100000000000001" customHeight="1" x14ac:dyDescent="0.25">
      <c r="A76" s="12" t="s">
        <v>1296</v>
      </c>
      <c r="B76" s="13">
        <v>13770172</v>
      </c>
      <c r="C76" s="8">
        <v>86569497284</v>
      </c>
      <c r="D76" s="6" t="s">
        <v>62</v>
      </c>
      <c r="E76" s="18">
        <v>1</v>
      </c>
      <c r="F76" s="14">
        <v>69.989999999999995</v>
      </c>
      <c r="G76" s="14">
        <v>69.989999999999995</v>
      </c>
      <c r="H76" s="7" t="s">
        <v>1048</v>
      </c>
      <c r="I76" s="7" t="s">
        <v>945</v>
      </c>
      <c r="J76" s="7" t="s">
        <v>955</v>
      </c>
      <c r="K76" s="7" t="str">
        <f>HYPERLINK("http://slimages.macys.com/is/image/MCY/18974231 ")</f>
        <v xml:space="preserve">http://slimages.macys.com/is/image/MCY/18974231 </v>
      </c>
    </row>
    <row r="77" spans="1:11" ht="20.100000000000001" customHeight="1" x14ac:dyDescent="0.25">
      <c r="A77" s="12" t="s">
        <v>1296</v>
      </c>
      <c r="B77" s="13">
        <v>13770172</v>
      </c>
      <c r="C77" s="8">
        <v>86569504302</v>
      </c>
      <c r="D77" s="6" t="s">
        <v>63</v>
      </c>
      <c r="E77" s="18">
        <v>1</v>
      </c>
      <c r="F77" s="14">
        <v>19.989999999999998</v>
      </c>
      <c r="G77" s="14">
        <v>19.989999999999998</v>
      </c>
      <c r="H77" s="7" t="s">
        <v>1050</v>
      </c>
      <c r="I77" s="7" t="s">
        <v>958</v>
      </c>
      <c r="J77" s="7" t="s">
        <v>955</v>
      </c>
      <c r="K77" s="7" t="str">
        <f>HYPERLINK("http://slimages.macys.com/is/image/MCY/18669441 ")</f>
        <v xml:space="preserve">http://slimages.macys.com/is/image/MCY/18669441 </v>
      </c>
    </row>
    <row r="78" spans="1:11" ht="20.100000000000001" customHeight="1" x14ac:dyDescent="0.25">
      <c r="A78" s="12" t="s">
        <v>1296</v>
      </c>
      <c r="B78" s="13">
        <v>13770172</v>
      </c>
      <c r="C78" s="8">
        <v>86569896643</v>
      </c>
      <c r="D78" s="6" t="s">
        <v>672</v>
      </c>
      <c r="E78" s="18">
        <v>1</v>
      </c>
      <c r="F78" s="14">
        <v>104.99</v>
      </c>
      <c r="G78" s="14">
        <v>104.99</v>
      </c>
      <c r="H78" s="7" t="s">
        <v>1026</v>
      </c>
      <c r="I78" s="7" t="s">
        <v>947</v>
      </c>
      <c r="J78" s="7" t="s">
        <v>955</v>
      </c>
      <c r="K78" s="7" t="str">
        <f>HYPERLINK("http://slimages.macys.com/is/image/MCY/10028055 ")</f>
        <v xml:space="preserve">http://slimages.macys.com/is/image/MCY/10028055 </v>
      </c>
    </row>
    <row r="79" spans="1:11" ht="20.100000000000001" customHeight="1" x14ac:dyDescent="0.25">
      <c r="A79" s="12" t="s">
        <v>1296</v>
      </c>
      <c r="B79" s="13">
        <v>13770172</v>
      </c>
      <c r="C79" s="8">
        <v>86569897619</v>
      </c>
      <c r="D79" s="6" t="s">
        <v>1516</v>
      </c>
      <c r="E79" s="18">
        <v>1</v>
      </c>
      <c r="F79" s="14">
        <v>27.99</v>
      </c>
      <c r="G79" s="14">
        <v>27.99</v>
      </c>
      <c r="H79" s="7" t="s">
        <v>941</v>
      </c>
      <c r="I79" s="7" t="s">
        <v>939</v>
      </c>
      <c r="J79" s="7" t="s">
        <v>1038</v>
      </c>
      <c r="K79" s="7" t="str">
        <f>HYPERLINK("http://slimages.macys.com/is/image/MCY/15710367 ")</f>
        <v xml:space="preserve">http://slimages.macys.com/is/image/MCY/15710367 </v>
      </c>
    </row>
    <row r="80" spans="1:11" ht="20.100000000000001" customHeight="1" x14ac:dyDescent="0.25">
      <c r="A80" s="12" t="s">
        <v>1296</v>
      </c>
      <c r="B80" s="13">
        <v>13770172</v>
      </c>
      <c r="C80" s="8">
        <v>86569948472</v>
      </c>
      <c r="D80" s="6" t="s">
        <v>64</v>
      </c>
      <c r="E80" s="18">
        <v>1</v>
      </c>
      <c r="F80" s="14">
        <v>40.99</v>
      </c>
      <c r="G80" s="14">
        <v>40.99</v>
      </c>
      <c r="H80" s="7" t="s">
        <v>952</v>
      </c>
      <c r="I80" s="7" t="s">
        <v>947</v>
      </c>
      <c r="J80" s="7" t="s">
        <v>955</v>
      </c>
      <c r="K80" s="7" t="str">
        <f>HYPERLINK("http://slimages.macys.com/is/image/MCY/9359192 ")</f>
        <v xml:space="preserve">http://slimages.macys.com/is/image/MCY/9359192 </v>
      </c>
    </row>
    <row r="81" spans="1:11" ht="20.100000000000001" customHeight="1" x14ac:dyDescent="0.25">
      <c r="A81" s="12" t="s">
        <v>1296</v>
      </c>
      <c r="B81" s="13">
        <v>13770172</v>
      </c>
      <c r="C81" s="8">
        <v>91116720371</v>
      </c>
      <c r="D81" s="6" t="s">
        <v>65</v>
      </c>
      <c r="E81" s="18">
        <v>5</v>
      </c>
      <c r="F81" s="14">
        <v>12.99</v>
      </c>
      <c r="G81" s="14">
        <v>64.95</v>
      </c>
      <c r="H81" s="7" t="s">
        <v>976</v>
      </c>
      <c r="I81" s="7" t="s">
        <v>939</v>
      </c>
      <c r="J81" s="7" t="s">
        <v>1249</v>
      </c>
      <c r="K81" s="7" t="str">
        <f>HYPERLINK("http://slimages.macys.com/is/image/MCY/17332224 ")</f>
        <v xml:space="preserve">http://slimages.macys.com/is/image/MCY/17332224 </v>
      </c>
    </row>
    <row r="82" spans="1:11" ht="20.100000000000001" customHeight="1" x14ac:dyDescent="0.25">
      <c r="A82" s="12" t="s">
        <v>1296</v>
      </c>
      <c r="B82" s="13">
        <v>13770172</v>
      </c>
      <c r="C82" s="8">
        <v>91116722450</v>
      </c>
      <c r="D82" s="6" t="s">
        <v>66</v>
      </c>
      <c r="E82" s="18">
        <v>1</v>
      </c>
      <c r="F82" s="14">
        <v>99.99</v>
      </c>
      <c r="G82" s="14">
        <v>99.99</v>
      </c>
      <c r="H82" s="7" t="s">
        <v>965</v>
      </c>
      <c r="I82" s="7" t="s">
        <v>945</v>
      </c>
      <c r="J82" s="7" t="s">
        <v>1249</v>
      </c>
      <c r="K82" s="7" t="str">
        <f>HYPERLINK("http://slimages.macys.com/is/image/MCY/13814961 ")</f>
        <v xml:space="preserve">http://slimages.macys.com/is/image/MCY/13814961 </v>
      </c>
    </row>
    <row r="83" spans="1:11" ht="20.100000000000001" customHeight="1" x14ac:dyDescent="0.25">
      <c r="A83" s="12" t="s">
        <v>1296</v>
      </c>
      <c r="B83" s="13">
        <v>13770172</v>
      </c>
      <c r="C83" s="8">
        <v>91116729527</v>
      </c>
      <c r="D83" s="6" t="s">
        <v>1308</v>
      </c>
      <c r="E83" s="18">
        <v>1</v>
      </c>
      <c r="F83" s="14">
        <v>18.989999999999998</v>
      </c>
      <c r="G83" s="14">
        <v>18.989999999999998</v>
      </c>
      <c r="H83" s="7" t="s">
        <v>984</v>
      </c>
      <c r="I83" s="7" t="s">
        <v>939</v>
      </c>
      <c r="J83" s="7" t="s">
        <v>1249</v>
      </c>
      <c r="K83" s="7" t="str">
        <f>HYPERLINK("http://slimages.macys.com/is/image/MCY/3153811 ")</f>
        <v xml:space="preserve">http://slimages.macys.com/is/image/MCY/3153811 </v>
      </c>
    </row>
    <row r="84" spans="1:11" ht="20.100000000000001" customHeight="1" x14ac:dyDescent="0.25">
      <c r="A84" s="12" t="s">
        <v>1296</v>
      </c>
      <c r="B84" s="13">
        <v>13770172</v>
      </c>
      <c r="C84" s="8">
        <v>96675162532</v>
      </c>
      <c r="D84" s="6" t="s">
        <v>67</v>
      </c>
      <c r="E84" s="18">
        <v>1</v>
      </c>
      <c r="F84" s="14">
        <v>18.989999999999998</v>
      </c>
      <c r="G84" s="14">
        <v>18.989999999999998</v>
      </c>
      <c r="H84" s="7" t="s">
        <v>941</v>
      </c>
      <c r="I84" s="7" t="s">
        <v>942</v>
      </c>
      <c r="J84" s="7" t="s">
        <v>1070</v>
      </c>
      <c r="K84" s="7" t="str">
        <f>HYPERLINK("http://slimages.macys.com/is/image/MCY/18042010 ")</f>
        <v xml:space="preserve">http://slimages.macys.com/is/image/MCY/18042010 </v>
      </c>
    </row>
    <row r="85" spans="1:11" ht="20.100000000000001" customHeight="1" x14ac:dyDescent="0.25">
      <c r="A85" s="12" t="s">
        <v>1296</v>
      </c>
      <c r="B85" s="13">
        <v>13770172</v>
      </c>
      <c r="C85" s="8">
        <v>96675200463</v>
      </c>
      <c r="D85" s="6" t="s">
        <v>68</v>
      </c>
      <c r="E85" s="18">
        <v>1</v>
      </c>
      <c r="F85" s="14">
        <v>21.99</v>
      </c>
      <c r="G85" s="14">
        <v>21.99</v>
      </c>
      <c r="H85" s="7" t="s">
        <v>941</v>
      </c>
      <c r="I85" s="7" t="s">
        <v>942</v>
      </c>
      <c r="J85" s="7" t="s">
        <v>1070</v>
      </c>
      <c r="K85" s="7" t="str">
        <f>HYPERLINK("http://slimages.macys.com/is/image/MCY/11531697 ")</f>
        <v xml:space="preserve">http://slimages.macys.com/is/image/MCY/11531697 </v>
      </c>
    </row>
    <row r="86" spans="1:11" ht="20.100000000000001" customHeight="1" x14ac:dyDescent="0.25">
      <c r="A86" s="12" t="s">
        <v>1296</v>
      </c>
      <c r="B86" s="13">
        <v>13770172</v>
      </c>
      <c r="C86" s="8">
        <v>96675394018</v>
      </c>
      <c r="D86" s="6" t="s">
        <v>1365</v>
      </c>
      <c r="E86" s="18">
        <v>1</v>
      </c>
      <c r="F86" s="14">
        <v>17.989999999999998</v>
      </c>
      <c r="G86" s="14">
        <v>17.989999999999998</v>
      </c>
      <c r="H86" s="7" t="s">
        <v>941</v>
      </c>
      <c r="I86" s="7" t="s">
        <v>942</v>
      </c>
      <c r="J86" s="7" t="s">
        <v>1070</v>
      </c>
      <c r="K86" s="7" t="str">
        <f>HYPERLINK("http://slimages.macys.com/is/image/MCY/18461838 ")</f>
        <v xml:space="preserve">http://slimages.macys.com/is/image/MCY/18461838 </v>
      </c>
    </row>
    <row r="87" spans="1:11" ht="20.100000000000001" customHeight="1" x14ac:dyDescent="0.25">
      <c r="A87" s="12" t="s">
        <v>1296</v>
      </c>
      <c r="B87" s="13">
        <v>13770172</v>
      </c>
      <c r="C87" s="8">
        <v>96675611320</v>
      </c>
      <c r="D87" s="6" t="s">
        <v>1279</v>
      </c>
      <c r="E87" s="18">
        <v>1</v>
      </c>
      <c r="F87" s="14">
        <v>129.99</v>
      </c>
      <c r="G87" s="14">
        <v>129.99</v>
      </c>
      <c r="H87" s="7" t="s">
        <v>941</v>
      </c>
      <c r="I87" s="7" t="s">
        <v>942</v>
      </c>
      <c r="J87" s="7" t="s">
        <v>1070</v>
      </c>
      <c r="K87" s="7" t="str">
        <f>HYPERLINK("http://slimages.macys.com/is/image/MCY/15866409 ")</f>
        <v xml:space="preserve">http://slimages.macys.com/is/image/MCY/15866409 </v>
      </c>
    </row>
    <row r="88" spans="1:11" ht="20.100000000000001" customHeight="1" x14ac:dyDescent="0.25">
      <c r="A88" s="12" t="s">
        <v>1296</v>
      </c>
      <c r="B88" s="13">
        <v>13770172</v>
      </c>
      <c r="C88" s="8">
        <v>96675612242</v>
      </c>
      <c r="D88" s="6" t="s">
        <v>1273</v>
      </c>
      <c r="E88" s="18">
        <v>1</v>
      </c>
      <c r="F88" s="14">
        <v>339.99</v>
      </c>
      <c r="G88" s="14">
        <v>339.99</v>
      </c>
      <c r="H88" s="7" t="s">
        <v>941</v>
      </c>
      <c r="I88" s="7" t="s">
        <v>942</v>
      </c>
      <c r="J88" s="7" t="s">
        <v>1070</v>
      </c>
      <c r="K88" s="7" t="str">
        <f>HYPERLINK("http://slimages.macys.com/is/image/MCY/15866492 ")</f>
        <v xml:space="preserve">http://slimages.macys.com/is/image/MCY/15866492 </v>
      </c>
    </row>
    <row r="89" spans="1:11" ht="20.100000000000001" customHeight="1" x14ac:dyDescent="0.25">
      <c r="A89" s="12" t="s">
        <v>1296</v>
      </c>
      <c r="B89" s="13">
        <v>13770172</v>
      </c>
      <c r="C89" s="8">
        <v>96675639614</v>
      </c>
      <c r="D89" s="6" t="s">
        <v>69</v>
      </c>
      <c r="E89" s="18">
        <v>1</v>
      </c>
      <c r="F89" s="14">
        <v>34.99</v>
      </c>
      <c r="G89" s="14">
        <v>34.99</v>
      </c>
      <c r="H89" s="7" t="s">
        <v>941</v>
      </c>
      <c r="I89" s="7" t="s">
        <v>942</v>
      </c>
      <c r="J89" s="7" t="s">
        <v>1070</v>
      </c>
      <c r="K89" s="7" t="str">
        <f>HYPERLINK("http://slimages.macys.com/is/image/MCY/3181504 ")</f>
        <v xml:space="preserve">http://slimages.macys.com/is/image/MCY/3181504 </v>
      </c>
    </row>
    <row r="90" spans="1:11" ht="20.100000000000001" customHeight="1" x14ac:dyDescent="0.25">
      <c r="A90" s="12" t="s">
        <v>1296</v>
      </c>
      <c r="B90" s="13">
        <v>13770172</v>
      </c>
      <c r="C90" s="8">
        <v>96675639768</v>
      </c>
      <c r="D90" s="6" t="s">
        <v>1092</v>
      </c>
      <c r="E90" s="18">
        <v>1</v>
      </c>
      <c r="F90" s="14">
        <v>29.99</v>
      </c>
      <c r="G90" s="14">
        <v>29.99</v>
      </c>
      <c r="H90" s="7" t="s">
        <v>941</v>
      </c>
      <c r="I90" s="7" t="s">
        <v>942</v>
      </c>
      <c r="J90" s="7" t="s">
        <v>1070</v>
      </c>
      <c r="K90" s="7" t="str">
        <f>HYPERLINK("http://slimages.macys.com/is/image/MCY/3181504 ")</f>
        <v xml:space="preserve">http://slimages.macys.com/is/image/MCY/3181504 </v>
      </c>
    </row>
    <row r="91" spans="1:11" ht="20.100000000000001" customHeight="1" x14ac:dyDescent="0.25">
      <c r="A91" s="12" t="s">
        <v>1296</v>
      </c>
      <c r="B91" s="13">
        <v>13770172</v>
      </c>
      <c r="C91" s="8">
        <v>96675700819</v>
      </c>
      <c r="D91" s="6" t="s">
        <v>1069</v>
      </c>
      <c r="E91" s="18">
        <v>2</v>
      </c>
      <c r="F91" s="14">
        <v>59.99</v>
      </c>
      <c r="G91" s="14">
        <v>119.98</v>
      </c>
      <c r="H91" s="7" t="s">
        <v>941</v>
      </c>
      <c r="I91" s="7" t="s">
        <v>942</v>
      </c>
      <c r="J91" s="7" t="s">
        <v>1070</v>
      </c>
      <c r="K91" s="7" t="str">
        <f>HYPERLINK("http://slimages.macys.com/is/image/MCY/11443707 ")</f>
        <v xml:space="preserve">http://slimages.macys.com/is/image/MCY/11443707 </v>
      </c>
    </row>
    <row r="92" spans="1:11" ht="20.100000000000001" customHeight="1" x14ac:dyDescent="0.25">
      <c r="A92" s="12" t="s">
        <v>1296</v>
      </c>
      <c r="B92" s="13">
        <v>13770172</v>
      </c>
      <c r="C92" s="8">
        <v>96675701113</v>
      </c>
      <c r="D92" s="6" t="s">
        <v>1242</v>
      </c>
      <c r="E92" s="18">
        <v>1</v>
      </c>
      <c r="F92" s="14">
        <v>49.99</v>
      </c>
      <c r="G92" s="14">
        <v>49.99</v>
      </c>
      <c r="H92" s="7" t="s">
        <v>941</v>
      </c>
      <c r="I92" s="7" t="s">
        <v>942</v>
      </c>
      <c r="J92" s="7" t="s">
        <v>1070</v>
      </c>
      <c r="K92" s="7" t="str">
        <f>HYPERLINK("http://slimages.macys.com/is/image/MCY/16080631 ")</f>
        <v xml:space="preserve">http://slimages.macys.com/is/image/MCY/16080631 </v>
      </c>
    </row>
    <row r="93" spans="1:11" ht="20.100000000000001" customHeight="1" x14ac:dyDescent="0.25">
      <c r="A93" s="12" t="s">
        <v>1296</v>
      </c>
      <c r="B93" s="13">
        <v>13770172</v>
      </c>
      <c r="C93" s="8">
        <v>96675701120</v>
      </c>
      <c r="D93" s="6" t="s">
        <v>677</v>
      </c>
      <c r="E93" s="18">
        <v>1</v>
      </c>
      <c r="F93" s="14">
        <v>74.989999999999995</v>
      </c>
      <c r="G93" s="14">
        <v>74.989999999999995</v>
      </c>
      <c r="H93" s="7" t="s">
        <v>941</v>
      </c>
      <c r="I93" s="7" t="s">
        <v>942</v>
      </c>
      <c r="J93" s="7" t="s">
        <v>1070</v>
      </c>
      <c r="K93" s="7" t="str">
        <f>HYPERLINK("http://slimages.macys.com/is/image/MCY/16095185 ")</f>
        <v xml:space="preserve">http://slimages.macys.com/is/image/MCY/16095185 </v>
      </c>
    </row>
    <row r="94" spans="1:11" ht="20.100000000000001" customHeight="1" x14ac:dyDescent="0.25">
      <c r="A94" s="12" t="s">
        <v>1296</v>
      </c>
      <c r="B94" s="13">
        <v>13770172</v>
      </c>
      <c r="C94" s="8">
        <v>96675807037</v>
      </c>
      <c r="D94" s="6" t="s">
        <v>70</v>
      </c>
      <c r="E94" s="18">
        <v>1</v>
      </c>
      <c r="F94" s="14">
        <v>69.989999999999995</v>
      </c>
      <c r="G94" s="14">
        <v>69.989999999999995</v>
      </c>
      <c r="H94" s="7" t="s">
        <v>941</v>
      </c>
      <c r="I94" s="7" t="s">
        <v>942</v>
      </c>
      <c r="J94" s="7" t="s">
        <v>1070</v>
      </c>
      <c r="K94" s="7" t="str">
        <f>HYPERLINK("http://slimages.macys.com/is/image/MCY/13586102 ")</f>
        <v xml:space="preserve">http://slimages.macys.com/is/image/MCY/13586102 </v>
      </c>
    </row>
    <row r="95" spans="1:11" ht="20.100000000000001" customHeight="1" x14ac:dyDescent="0.25">
      <c r="A95" s="12" t="s">
        <v>1296</v>
      </c>
      <c r="B95" s="13">
        <v>13770172</v>
      </c>
      <c r="C95" s="8">
        <v>96675911024</v>
      </c>
      <c r="D95" s="6" t="s">
        <v>71</v>
      </c>
      <c r="E95" s="18">
        <v>1</v>
      </c>
      <c r="F95" s="14">
        <v>24.99</v>
      </c>
      <c r="G95" s="14">
        <v>24.99</v>
      </c>
      <c r="H95" s="7" t="s">
        <v>941</v>
      </c>
      <c r="I95" s="7" t="s">
        <v>942</v>
      </c>
      <c r="J95" s="7" t="s">
        <v>1070</v>
      </c>
      <c r="K95" s="7" t="str">
        <f>HYPERLINK("http://slimages.macys.com/is/image/MCY/12055842 ")</f>
        <v xml:space="preserve">http://slimages.macys.com/is/image/MCY/12055842 </v>
      </c>
    </row>
    <row r="96" spans="1:11" ht="20.100000000000001" customHeight="1" x14ac:dyDescent="0.25">
      <c r="A96" s="12" t="s">
        <v>1296</v>
      </c>
      <c r="B96" s="13">
        <v>13770172</v>
      </c>
      <c r="C96" s="8">
        <v>190714366469</v>
      </c>
      <c r="D96" s="6" t="s">
        <v>72</v>
      </c>
      <c r="E96" s="18">
        <v>1</v>
      </c>
      <c r="F96" s="14">
        <v>9.99</v>
      </c>
      <c r="G96" s="14">
        <v>9.99</v>
      </c>
      <c r="H96" s="7" t="s">
        <v>941</v>
      </c>
      <c r="I96" s="7" t="s">
        <v>947</v>
      </c>
      <c r="J96" s="7" t="s">
        <v>1206</v>
      </c>
      <c r="K96" s="7" t="str">
        <f>HYPERLINK("http://slimages.macys.com/is/image/MCY/17566474 ")</f>
        <v xml:space="preserve">http://slimages.macys.com/is/image/MCY/17566474 </v>
      </c>
    </row>
    <row r="97" spans="1:11" ht="20.100000000000001" customHeight="1" x14ac:dyDescent="0.25">
      <c r="A97" s="12" t="s">
        <v>1296</v>
      </c>
      <c r="B97" s="13">
        <v>13770172</v>
      </c>
      <c r="C97" s="8">
        <v>190945022660</v>
      </c>
      <c r="D97" s="6" t="s">
        <v>73</v>
      </c>
      <c r="E97" s="18">
        <v>1</v>
      </c>
      <c r="F97" s="14">
        <v>220.99</v>
      </c>
      <c r="G97" s="14">
        <v>220.99</v>
      </c>
      <c r="H97" s="7" t="s">
        <v>1126</v>
      </c>
      <c r="I97" s="7" t="s">
        <v>947</v>
      </c>
      <c r="J97" s="7" t="s">
        <v>1031</v>
      </c>
      <c r="K97" s="7" t="str">
        <f>HYPERLINK("http://slimages.macys.com/is/image/MCY/11629887 ")</f>
        <v xml:space="preserve">http://slimages.macys.com/is/image/MCY/11629887 </v>
      </c>
    </row>
    <row r="98" spans="1:11" ht="20.100000000000001" customHeight="1" x14ac:dyDescent="0.25">
      <c r="A98" s="12" t="s">
        <v>1296</v>
      </c>
      <c r="B98" s="13">
        <v>13770172</v>
      </c>
      <c r="C98" s="8">
        <v>190945065056</v>
      </c>
      <c r="D98" s="6" t="s">
        <v>74</v>
      </c>
      <c r="E98" s="18">
        <v>1</v>
      </c>
      <c r="F98" s="14">
        <v>117.99</v>
      </c>
      <c r="G98" s="14">
        <v>117.99</v>
      </c>
      <c r="H98" s="7" t="s">
        <v>941</v>
      </c>
      <c r="I98" s="7" t="s">
        <v>947</v>
      </c>
      <c r="J98" s="7" t="s">
        <v>1031</v>
      </c>
      <c r="K98" s="7" t="str">
        <f>HYPERLINK("http://slimages.macys.com/is/image/MCY/11630381 ")</f>
        <v xml:space="preserve">http://slimages.macys.com/is/image/MCY/11630381 </v>
      </c>
    </row>
    <row r="99" spans="1:11" ht="20.100000000000001" customHeight="1" x14ac:dyDescent="0.25">
      <c r="A99" s="12" t="s">
        <v>1296</v>
      </c>
      <c r="B99" s="13">
        <v>13770172</v>
      </c>
      <c r="C99" s="8">
        <v>191790022119</v>
      </c>
      <c r="D99" s="6" t="s">
        <v>1188</v>
      </c>
      <c r="E99" s="18">
        <v>1</v>
      </c>
      <c r="F99" s="14">
        <v>39.99</v>
      </c>
      <c r="G99" s="14">
        <v>39.99</v>
      </c>
      <c r="H99" s="7" t="s">
        <v>941</v>
      </c>
      <c r="I99" s="7" t="s">
        <v>939</v>
      </c>
      <c r="J99" s="7" t="s">
        <v>986</v>
      </c>
      <c r="K99" s="7" t="str">
        <f>HYPERLINK("http://slimages.macys.com/is/image/MCY/11764484 ")</f>
        <v xml:space="preserve">http://slimages.macys.com/is/image/MCY/11764484 </v>
      </c>
    </row>
    <row r="100" spans="1:11" ht="20.100000000000001" customHeight="1" x14ac:dyDescent="0.25">
      <c r="A100" s="12" t="s">
        <v>1296</v>
      </c>
      <c r="B100" s="13">
        <v>13770172</v>
      </c>
      <c r="C100" s="8">
        <v>191790022225</v>
      </c>
      <c r="D100" s="6" t="s">
        <v>75</v>
      </c>
      <c r="E100" s="18">
        <v>1</v>
      </c>
      <c r="F100" s="14">
        <v>39.99</v>
      </c>
      <c r="G100" s="14">
        <v>39.99</v>
      </c>
      <c r="H100" s="7" t="s">
        <v>976</v>
      </c>
      <c r="I100" s="7" t="s">
        <v>939</v>
      </c>
      <c r="J100" s="7" t="s">
        <v>986</v>
      </c>
      <c r="K100" s="7" t="str">
        <f>HYPERLINK("http://slimages.macys.com/is/image/MCY/11764484 ")</f>
        <v xml:space="preserve">http://slimages.macys.com/is/image/MCY/11764484 </v>
      </c>
    </row>
    <row r="101" spans="1:11" ht="20.100000000000001" customHeight="1" x14ac:dyDescent="0.25">
      <c r="A101" s="12" t="s">
        <v>1296</v>
      </c>
      <c r="B101" s="13">
        <v>13770172</v>
      </c>
      <c r="C101" s="8">
        <v>191790037113</v>
      </c>
      <c r="D101" s="6" t="s">
        <v>76</v>
      </c>
      <c r="E101" s="18">
        <v>1</v>
      </c>
      <c r="F101" s="14">
        <v>59.99</v>
      </c>
      <c r="G101" s="14">
        <v>59.99</v>
      </c>
      <c r="H101" s="7" t="s">
        <v>1013</v>
      </c>
      <c r="I101" s="7" t="s">
        <v>939</v>
      </c>
      <c r="J101" s="7" t="s">
        <v>986</v>
      </c>
      <c r="K101" s="7" t="str">
        <f>HYPERLINK("http://slimages.macys.com/is/image/MCY/17822518 ")</f>
        <v xml:space="preserve">http://slimages.macys.com/is/image/MCY/17822518 </v>
      </c>
    </row>
    <row r="102" spans="1:11" ht="20.100000000000001" customHeight="1" x14ac:dyDescent="0.25">
      <c r="A102" s="12" t="s">
        <v>1296</v>
      </c>
      <c r="B102" s="13">
        <v>13770172</v>
      </c>
      <c r="C102" s="8">
        <v>191790041394</v>
      </c>
      <c r="D102" s="6" t="s">
        <v>77</v>
      </c>
      <c r="E102" s="18">
        <v>1</v>
      </c>
      <c r="F102" s="14">
        <v>49.99</v>
      </c>
      <c r="G102" s="14">
        <v>49.99</v>
      </c>
      <c r="H102" s="7" t="s">
        <v>976</v>
      </c>
      <c r="I102" s="7" t="s">
        <v>939</v>
      </c>
      <c r="J102" s="7" t="s">
        <v>986</v>
      </c>
      <c r="K102" s="7" t="str">
        <f>HYPERLINK("http://slimages.macys.com/is/image/MCY/17968749 ")</f>
        <v xml:space="preserve">http://slimages.macys.com/is/image/MCY/17968749 </v>
      </c>
    </row>
    <row r="103" spans="1:11" ht="20.100000000000001" customHeight="1" x14ac:dyDescent="0.25">
      <c r="A103" s="12" t="s">
        <v>1296</v>
      </c>
      <c r="B103" s="13">
        <v>13770172</v>
      </c>
      <c r="C103" s="8">
        <v>191790041431</v>
      </c>
      <c r="D103" s="6" t="s">
        <v>78</v>
      </c>
      <c r="E103" s="18">
        <v>1</v>
      </c>
      <c r="F103" s="14">
        <v>49.99</v>
      </c>
      <c r="G103" s="14">
        <v>49.99</v>
      </c>
      <c r="H103" s="7" t="s">
        <v>941</v>
      </c>
      <c r="I103" s="7" t="s">
        <v>939</v>
      </c>
      <c r="J103" s="7" t="s">
        <v>986</v>
      </c>
      <c r="K103" s="7" t="str">
        <f>HYPERLINK("http://slimages.macys.com/is/image/MCY/17968749 ")</f>
        <v xml:space="preserve">http://slimages.macys.com/is/image/MCY/17968749 </v>
      </c>
    </row>
    <row r="104" spans="1:11" ht="20.100000000000001" customHeight="1" x14ac:dyDescent="0.25">
      <c r="A104" s="12" t="s">
        <v>1296</v>
      </c>
      <c r="B104" s="13">
        <v>13770172</v>
      </c>
      <c r="C104" s="8">
        <v>193842103715</v>
      </c>
      <c r="D104" s="6" t="s">
        <v>1541</v>
      </c>
      <c r="E104" s="18">
        <v>1</v>
      </c>
      <c r="F104" s="14">
        <v>69.989999999999995</v>
      </c>
      <c r="G104" s="14">
        <v>69.989999999999995</v>
      </c>
      <c r="H104" s="7" t="s">
        <v>1050</v>
      </c>
      <c r="I104" s="7" t="s">
        <v>966</v>
      </c>
      <c r="J104" s="7" t="s">
        <v>967</v>
      </c>
      <c r="K104" s="7" t="str">
        <f>HYPERLINK("http://slimages.macys.com/is/image/MCY/14737611 ")</f>
        <v xml:space="preserve">http://slimages.macys.com/is/image/MCY/14737611 </v>
      </c>
    </row>
    <row r="105" spans="1:11" ht="20.100000000000001" customHeight="1" x14ac:dyDescent="0.25">
      <c r="A105" s="12" t="s">
        <v>1296</v>
      </c>
      <c r="B105" s="13">
        <v>13770172</v>
      </c>
      <c r="C105" s="8">
        <v>194938017015</v>
      </c>
      <c r="D105" s="6" t="s">
        <v>79</v>
      </c>
      <c r="E105" s="18">
        <v>1</v>
      </c>
      <c r="F105" s="14">
        <v>99.99</v>
      </c>
      <c r="G105" s="14">
        <v>99.99</v>
      </c>
      <c r="H105" s="7"/>
      <c r="I105" s="7" t="s">
        <v>947</v>
      </c>
      <c r="J105" s="7" t="s">
        <v>949</v>
      </c>
      <c r="K105" s="7" t="str">
        <f>HYPERLINK("http://slimages.macys.com/is/image/MCY/19077987 ")</f>
        <v xml:space="preserve">http://slimages.macys.com/is/image/MCY/19077987 </v>
      </c>
    </row>
    <row r="106" spans="1:11" ht="20.100000000000001" customHeight="1" x14ac:dyDescent="0.25">
      <c r="A106" s="12" t="s">
        <v>1296</v>
      </c>
      <c r="B106" s="13">
        <v>13770172</v>
      </c>
      <c r="C106" s="8">
        <v>608356690649</v>
      </c>
      <c r="D106" s="6" t="s">
        <v>1253</v>
      </c>
      <c r="E106" s="18">
        <v>1</v>
      </c>
      <c r="F106" s="14">
        <v>14.99</v>
      </c>
      <c r="G106" s="14">
        <v>14.99</v>
      </c>
      <c r="H106" s="7" t="s">
        <v>941</v>
      </c>
      <c r="I106" s="7" t="s">
        <v>971</v>
      </c>
      <c r="J106" s="7" t="s">
        <v>1117</v>
      </c>
      <c r="K106" s="7" t="str">
        <f>HYPERLINK("http://slimages.macys.com/is/image/MCY/11946722 ")</f>
        <v xml:space="preserve">http://slimages.macys.com/is/image/MCY/11946722 </v>
      </c>
    </row>
    <row r="107" spans="1:11" ht="20.100000000000001" customHeight="1" x14ac:dyDescent="0.25">
      <c r="A107" s="12" t="s">
        <v>1296</v>
      </c>
      <c r="B107" s="13">
        <v>13770172</v>
      </c>
      <c r="C107" s="8">
        <v>608356690717</v>
      </c>
      <c r="D107" s="6" t="s">
        <v>80</v>
      </c>
      <c r="E107" s="18">
        <v>1</v>
      </c>
      <c r="F107" s="14">
        <v>78.11</v>
      </c>
      <c r="G107" s="14">
        <v>78.11</v>
      </c>
      <c r="H107" s="7"/>
      <c r="I107" s="7" t="s">
        <v>971</v>
      </c>
      <c r="J107" s="7" t="s">
        <v>1117</v>
      </c>
      <c r="K107" s="7" t="str">
        <f>HYPERLINK("http://slimages.macys.com/is/image/MCY/11946722 ")</f>
        <v xml:space="preserve">http://slimages.macys.com/is/image/MCY/11946722 </v>
      </c>
    </row>
    <row r="108" spans="1:11" ht="20.100000000000001" customHeight="1" x14ac:dyDescent="0.25">
      <c r="A108" s="12" t="s">
        <v>1296</v>
      </c>
      <c r="B108" s="13">
        <v>13770172</v>
      </c>
      <c r="C108" s="8">
        <v>608356800338</v>
      </c>
      <c r="D108" s="6" t="s">
        <v>81</v>
      </c>
      <c r="E108" s="18">
        <v>1</v>
      </c>
      <c r="F108" s="14">
        <v>179.99</v>
      </c>
      <c r="G108" s="14">
        <v>179.99</v>
      </c>
      <c r="H108" s="7" t="s">
        <v>941</v>
      </c>
      <c r="I108" s="7" t="s">
        <v>956</v>
      </c>
      <c r="J108" s="7" t="s">
        <v>1107</v>
      </c>
      <c r="K108" s="7" t="str">
        <f>HYPERLINK("http://slimages.macys.com/is/image/MCY/8453041 ")</f>
        <v xml:space="preserve">http://slimages.macys.com/is/image/MCY/8453041 </v>
      </c>
    </row>
    <row r="109" spans="1:11" ht="20.100000000000001" customHeight="1" x14ac:dyDescent="0.25">
      <c r="A109" s="12" t="s">
        <v>1296</v>
      </c>
      <c r="B109" s="13">
        <v>13770172</v>
      </c>
      <c r="C109" s="8">
        <v>609372124767</v>
      </c>
      <c r="D109" s="6" t="s">
        <v>82</v>
      </c>
      <c r="E109" s="18">
        <v>1</v>
      </c>
      <c r="F109" s="14">
        <v>149.99</v>
      </c>
      <c r="G109" s="14">
        <v>149.99</v>
      </c>
      <c r="H109" s="7" t="s">
        <v>1025</v>
      </c>
      <c r="I109" s="7" t="s">
        <v>1033</v>
      </c>
      <c r="J109" s="7" t="s">
        <v>1258</v>
      </c>
      <c r="K109" s="7" t="str">
        <f>HYPERLINK("http://images.bloomingdales.com/is/image/BLM/10001634 ")</f>
        <v xml:space="preserve">http://images.bloomingdales.com/is/image/BLM/10001634 </v>
      </c>
    </row>
    <row r="110" spans="1:11" ht="20.100000000000001" customHeight="1" x14ac:dyDescent="0.25">
      <c r="A110" s="12" t="s">
        <v>1296</v>
      </c>
      <c r="B110" s="13">
        <v>13770172</v>
      </c>
      <c r="C110" s="8">
        <v>610406819870</v>
      </c>
      <c r="D110" s="6" t="s">
        <v>83</v>
      </c>
      <c r="E110" s="18">
        <v>3</v>
      </c>
      <c r="F110" s="14">
        <v>36.99</v>
      </c>
      <c r="G110" s="14">
        <v>110.97</v>
      </c>
      <c r="H110" s="7" t="s">
        <v>1001</v>
      </c>
      <c r="I110" s="7" t="s">
        <v>947</v>
      </c>
      <c r="J110" s="7" t="s">
        <v>1090</v>
      </c>
      <c r="K110" s="7" t="str">
        <f>HYPERLINK("http://slimages.macys.com/is/image/MCY/16367700 ")</f>
        <v xml:space="preserve">http://slimages.macys.com/is/image/MCY/16367700 </v>
      </c>
    </row>
    <row r="111" spans="1:11" ht="20.100000000000001" customHeight="1" x14ac:dyDescent="0.25">
      <c r="A111" s="12" t="s">
        <v>1296</v>
      </c>
      <c r="B111" s="13">
        <v>13770172</v>
      </c>
      <c r="C111" s="8">
        <v>610406820838</v>
      </c>
      <c r="D111" s="6" t="s">
        <v>84</v>
      </c>
      <c r="E111" s="18">
        <v>2</v>
      </c>
      <c r="F111" s="14">
        <v>39.99</v>
      </c>
      <c r="G111" s="14">
        <v>79.98</v>
      </c>
      <c r="H111" s="7" t="s">
        <v>1001</v>
      </c>
      <c r="I111" s="7" t="s">
        <v>947</v>
      </c>
      <c r="J111" s="7" t="s">
        <v>1090</v>
      </c>
      <c r="K111" s="7" t="str">
        <f>HYPERLINK("http://slimages.macys.com/is/image/MCY/16368378 ")</f>
        <v xml:space="preserve">http://slimages.macys.com/is/image/MCY/16368378 </v>
      </c>
    </row>
    <row r="112" spans="1:11" ht="20.100000000000001" customHeight="1" x14ac:dyDescent="0.25">
      <c r="A112" s="12" t="s">
        <v>1296</v>
      </c>
      <c r="B112" s="13">
        <v>13770172</v>
      </c>
      <c r="C112" s="8">
        <v>610406820838</v>
      </c>
      <c r="D112" s="6" t="s">
        <v>84</v>
      </c>
      <c r="E112" s="18">
        <v>1</v>
      </c>
      <c r="F112" s="14">
        <v>39.99</v>
      </c>
      <c r="G112" s="14">
        <v>39.99</v>
      </c>
      <c r="H112" s="7" t="s">
        <v>1001</v>
      </c>
      <c r="I112" s="7" t="s">
        <v>947</v>
      </c>
      <c r="J112" s="7" t="s">
        <v>1090</v>
      </c>
      <c r="K112" s="7" t="str">
        <f>HYPERLINK("http://slimages.macys.com/is/image/MCY/16368378 ")</f>
        <v xml:space="preserve">http://slimages.macys.com/is/image/MCY/16368378 </v>
      </c>
    </row>
    <row r="113" spans="1:11" ht="20.100000000000001" customHeight="1" x14ac:dyDescent="0.25">
      <c r="A113" s="12" t="s">
        <v>1296</v>
      </c>
      <c r="B113" s="13">
        <v>13770172</v>
      </c>
      <c r="C113" s="8">
        <v>628961003719</v>
      </c>
      <c r="D113" s="6" t="s">
        <v>85</v>
      </c>
      <c r="E113" s="18">
        <v>1</v>
      </c>
      <c r="F113" s="14">
        <v>99.99</v>
      </c>
      <c r="G113" s="14">
        <v>99.99</v>
      </c>
      <c r="H113" s="7" t="s">
        <v>976</v>
      </c>
      <c r="I113" s="7" t="s">
        <v>939</v>
      </c>
      <c r="J113" s="7" t="s">
        <v>1150</v>
      </c>
      <c r="K113" s="7" t="str">
        <f>HYPERLINK("http://slimages.macys.com/is/image/MCY/18974084 ")</f>
        <v xml:space="preserve">http://slimages.macys.com/is/image/MCY/18974084 </v>
      </c>
    </row>
    <row r="114" spans="1:11" ht="20.100000000000001" customHeight="1" x14ac:dyDescent="0.25">
      <c r="A114" s="12" t="s">
        <v>1296</v>
      </c>
      <c r="B114" s="13">
        <v>13770172</v>
      </c>
      <c r="C114" s="8">
        <v>628961004037</v>
      </c>
      <c r="D114" s="6" t="s">
        <v>86</v>
      </c>
      <c r="E114" s="18">
        <v>1</v>
      </c>
      <c r="F114" s="14">
        <v>169.99</v>
      </c>
      <c r="G114" s="14">
        <v>169.99</v>
      </c>
      <c r="H114" s="7" t="s">
        <v>950</v>
      </c>
      <c r="I114" s="7" t="s">
        <v>939</v>
      </c>
      <c r="J114" s="7" t="s">
        <v>1150</v>
      </c>
      <c r="K114" s="7" t="str">
        <f>HYPERLINK("http://slimages.macys.com/is/image/MCY/19087573 ")</f>
        <v xml:space="preserve">http://slimages.macys.com/is/image/MCY/19087573 </v>
      </c>
    </row>
    <row r="115" spans="1:11" ht="20.100000000000001" customHeight="1" x14ac:dyDescent="0.25">
      <c r="A115" s="12" t="s">
        <v>1296</v>
      </c>
      <c r="B115" s="13">
        <v>13770172</v>
      </c>
      <c r="C115" s="8">
        <v>633125095912</v>
      </c>
      <c r="D115" s="6" t="s">
        <v>87</v>
      </c>
      <c r="E115" s="18">
        <v>1</v>
      </c>
      <c r="F115" s="14">
        <v>35.99</v>
      </c>
      <c r="G115" s="14">
        <v>35.99</v>
      </c>
      <c r="H115" s="7" t="s">
        <v>1145</v>
      </c>
      <c r="I115" s="7" t="s">
        <v>947</v>
      </c>
      <c r="J115" s="7" t="s">
        <v>88</v>
      </c>
      <c r="K115" s="7" t="str">
        <f>HYPERLINK("http://slimages.macys.com/is/image/MCY/13988308 ")</f>
        <v xml:space="preserve">http://slimages.macys.com/is/image/MCY/13988308 </v>
      </c>
    </row>
    <row r="116" spans="1:11" ht="20.100000000000001" customHeight="1" x14ac:dyDescent="0.25">
      <c r="A116" s="12" t="s">
        <v>1296</v>
      </c>
      <c r="B116" s="13">
        <v>13770172</v>
      </c>
      <c r="C116" s="8">
        <v>635983499598</v>
      </c>
      <c r="D116" s="6" t="s">
        <v>978</v>
      </c>
      <c r="E116" s="18">
        <v>1</v>
      </c>
      <c r="F116" s="14">
        <v>65.989999999999995</v>
      </c>
      <c r="G116" s="14">
        <v>65.989999999999995</v>
      </c>
      <c r="H116" s="7" t="s">
        <v>941</v>
      </c>
      <c r="I116" s="7" t="s">
        <v>942</v>
      </c>
      <c r="J116" s="7" t="s">
        <v>943</v>
      </c>
      <c r="K116" s="7" t="str">
        <f>HYPERLINK("http://slimages.macys.com/is/image/MCY/11798186 ")</f>
        <v xml:space="preserve">http://slimages.macys.com/is/image/MCY/11798186 </v>
      </c>
    </row>
    <row r="117" spans="1:11" ht="20.100000000000001" customHeight="1" x14ac:dyDescent="0.25">
      <c r="A117" s="12" t="s">
        <v>1296</v>
      </c>
      <c r="B117" s="13">
        <v>13770172</v>
      </c>
      <c r="C117" s="8">
        <v>636047365972</v>
      </c>
      <c r="D117" s="6" t="s">
        <v>89</v>
      </c>
      <c r="E117" s="18">
        <v>1</v>
      </c>
      <c r="F117" s="14">
        <v>20</v>
      </c>
      <c r="G117" s="14">
        <v>20</v>
      </c>
      <c r="H117" s="7" t="s">
        <v>1082</v>
      </c>
      <c r="I117" s="7" t="s">
        <v>947</v>
      </c>
      <c r="J117" s="7" t="s">
        <v>1198</v>
      </c>
      <c r="K117" s="7" t="str">
        <f>HYPERLINK("http://slimages.macys.com/is/image/MCY/11704961 ")</f>
        <v xml:space="preserve">http://slimages.macys.com/is/image/MCY/11704961 </v>
      </c>
    </row>
    <row r="118" spans="1:11" ht="20.100000000000001" customHeight="1" x14ac:dyDescent="0.25">
      <c r="A118" s="12" t="s">
        <v>1296</v>
      </c>
      <c r="B118" s="13">
        <v>13770172</v>
      </c>
      <c r="C118" s="8">
        <v>636193128254</v>
      </c>
      <c r="D118" s="6" t="s">
        <v>90</v>
      </c>
      <c r="E118" s="18">
        <v>1</v>
      </c>
      <c r="F118" s="14">
        <v>19.989999999999998</v>
      </c>
      <c r="G118" s="14">
        <v>19.989999999999998</v>
      </c>
      <c r="H118" s="7" t="s">
        <v>997</v>
      </c>
      <c r="I118" s="7" t="s">
        <v>971</v>
      </c>
      <c r="J118" s="7" t="s">
        <v>972</v>
      </c>
      <c r="K118" s="7" t="str">
        <f>HYPERLINK("http://slimages.macys.com/is/image/MCY/13285490 ")</f>
        <v xml:space="preserve">http://slimages.macys.com/is/image/MCY/13285490 </v>
      </c>
    </row>
    <row r="119" spans="1:11" ht="20.100000000000001" customHeight="1" x14ac:dyDescent="0.25">
      <c r="A119" s="12" t="s">
        <v>1296</v>
      </c>
      <c r="B119" s="13">
        <v>13770172</v>
      </c>
      <c r="C119" s="8">
        <v>636206071829</v>
      </c>
      <c r="D119" s="6" t="s">
        <v>1367</v>
      </c>
      <c r="E119" s="18">
        <v>1</v>
      </c>
      <c r="F119" s="14">
        <v>299.99</v>
      </c>
      <c r="G119" s="14">
        <v>299.99</v>
      </c>
      <c r="H119" s="7" t="s">
        <v>976</v>
      </c>
      <c r="I119" s="7" t="s">
        <v>956</v>
      </c>
      <c r="J119" s="7" t="s">
        <v>1014</v>
      </c>
      <c r="K119" s="7" t="str">
        <f>HYPERLINK("http://slimages.macys.com/is/image/MCY/10467368 ")</f>
        <v xml:space="preserve">http://slimages.macys.com/is/image/MCY/10467368 </v>
      </c>
    </row>
    <row r="120" spans="1:11" ht="20.100000000000001" customHeight="1" x14ac:dyDescent="0.25">
      <c r="A120" s="12" t="s">
        <v>1296</v>
      </c>
      <c r="B120" s="13">
        <v>13770172</v>
      </c>
      <c r="C120" s="8">
        <v>646998689638</v>
      </c>
      <c r="D120" s="6" t="s">
        <v>91</v>
      </c>
      <c r="E120" s="18">
        <v>1</v>
      </c>
      <c r="F120" s="14">
        <v>53.99</v>
      </c>
      <c r="G120" s="14">
        <v>53.99</v>
      </c>
      <c r="H120" s="7" t="s">
        <v>941</v>
      </c>
      <c r="I120" s="7" t="s">
        <v>947</v>
      </c>
      <c r="J120" s="7" t="s">
        <v>1019</v>
      </c>
      <c r="K120" s="7" t="str">
        <f>HYPERLINK("http://slimages.macys.com/is/image/MCY/12703749 ")</f>
        <v xml:space="preserve">http://slimages.macys.com/is/image/MCY/12703749 </v>
      </c>
    </row>
    <row r="121" spans="1:11" ht="20.100000000000001" customHeight="1" x14ac:dyDescent="0.25">
      <c r="A121" s="12" t="s">
        <v>1296</v>
      </c>
      <c r="B121" s="13">
        <v>13770172</v>
      </c>
      <c r="C121" s="8">
        <v>646998689638</v>
      </c>
      <c r="D121" s="6" t="s">
        <v>91</v>
      </c>
      <c r="E121" s="18">
        <v>1</v>
      </c>
      <c r="F121" s="14">
        <v>53.99</v>
      </c>
      <c r="G121" s="14">
        <v>53.99</v>
      </c>
      <c r="H121" s="7" t="s">
        <v>941</v>
      </c>
      <c r="I121" s="7" t="s">
        <v>947</v>
      </c>
      <c r="J121" s="7" t="s">
        <v>1019</v>
      </c>
      <c r="K121" s="7" t="str">
        <f>HYPERLINK("http://slimages.macys.com/is/image/MCY/12703749 ")</f>
        <v xml:space="preserve">http://slimages.macys.com/is/image/MCY/12703749 </v>
      </c>
    </row>
    <row r="122" spans="1:11" ht="20.100000000000001" customHeight="1" x14ac:dyDescent="0.25">
      <c r="A122" s="12" t="s">
        <v>1296</v>
      </c>
      <c r="B122" s="13">
        <v>13770172</v>
      </c>
      <c r="C122" s="8">
        <v>646998692652</v>
      </c>
      <c r="D122" s="6" t="s">
        <v>92</v>
      </c>
      <c r="E122" s="18">
        <v>1</v>
      </c>
      <c r="F122" s="14">
        <v>77.989999999999995</v>
      </c>
      <c r="G122" s="14">
        <v>77.989999999999995</v>
      </c>
      <c r="H122" s="7" t="s">
        <v>1026</v>
      </c>
      <c r="I122" s="7" t="s">
        <v>947</v>
      </c>
      <c r="J122" s="7" t="s">
        <v>1019</v>
      </c>
      <c r="K122" s="7" t="str">
        <f>HYPERLINK("http://slimages.macys.com/is/image/MCY/16494319 ")</f>
        <v xml:space="preserve">http://slimages.macys.com/is/image/MCY/16494319 </v>
      </c>
    </row>
    <row r="123" spans="1:11" ht="20.100000000000001" customHeight="1" x14ac:dyDescent="0.25">
      <c r="A123" s="12" t="s">
        <v>1296</v>
      </c>
      <c r="B123" s="13">
        <v>13770172</v>
      </c>
      <c r="C123" s="8">
        <v>646998694892</v>
      </c>
      <c r="D123" s="6" t="s">
        <v>93</v>
      </c>
      <c r="E123" s="18">
        <v>1</v>
      </c>
      <c r="F123" s="14">
        <v>10.99</v>
      </c>
      <c r="G123" s="14">
        <v>10.99</v>
      </c>
      <c r="H123" s="7"/>
      <c r="I123" s="7" t="s">
        <v>947</v>
      </c>
      <c r="J123" s="7" t="s">
        <v>1019</v>
      </c>
      <c r="K123" s="7" t="str">
        <f>HYPERLINK("http://slimages.macys.com/is/image/MCY/19393464 ")</f>
        <v xml:space="preserve">http://slimages.macys.com/is/image/MCY/19393464 </v>
      </c>
    </row>
    <row r="124" spans="1:11" ht="20.100000000000001" customHeight="1" x14ac:dyDescent="0.25">
      <c r="A124" s="12" t="s">
        <v>1296</v>
      </c>
      <c r="B124" s="13">
        <v>13770172</v>
      </c>
      <c r="C124" s="8">
        <v>651896651007</v>
      </c>
      <c r="D124" s="6" t="s">
        <v>1416</v>
      </c>
      <c r="E124" s="18">
        <v>1</v>
      </c>
      <c r="F124" s="14">
        <v>9.99</v>
      </c>
      <c r="G124" s="14">
        <v>9.99</v>
      </c>
      <c r="H124" s="7" t="s">
        <v>997</v>
      </c>
      <c r="I124" s="7" t="s">
        <v>947</v>
      </c>
      <c r="J124" s="7" t="s">
        <v>1248</v>
      </c>
      <c r="K124" s="7" t="str">
        <f>HYPERLINK("http://slimages.macys.com/is/image/MCY/18614219 ")</f>
        <v xml:space="preserve">http://slimages.macys.com/is/image/MCY/18614219 </v>
      </c>
    </row>
    <row r="125" spans="1:11" ht="20.100000000000001" customHeight="1" x14ac:dyDescent="0.25">
      <c r="A125" s="12" t="s">
        <v>1296</v>
      </c>
      <c r="B125" s="13">
        <v>13770172</v>
      </c>
      <c r="C125" s="8">
        <v>651896651007</v>
      </c>
      <c r="D125" s="6" t="s">
        <v>1416</v>
      </c>
      <c r="E125" s="18">
        <v>1</v>
      </c>
      <c r="F125" s="14">
        <v>9.99</v>
      </c>
      <c r="G125" s="14">
        <v>9.99</v>
      </c>
      <c r="H125" s="7" t="s">
        <v>997</v>
      </c>
      <c r="I125" s="7" t="s">
        <v>947</v>
      </c>
      <c r="J125" s="7" t="s">
        <v>1248</v>
      </c>
      <c r="K125" s="7" t="str">
        <f>HYPERLINK("http://slimages.macys.com/is/image/MCY/18614219 ")</f>
        <v xml:space="preserve">http://slimages.macys.com/is/image/MCY/18614219 </v>
      </c>
    </row>
    <row r="126" spans="1:11" ht="20.100000000000001" customHeight="1" x14ac:dyDescent="0.25">
      <c r="A126" s="12" t="s">
        <v>1296</v>
      </c>
      <c r="B126" s="13">
        <v>13770172</v>
      </c>
      <c r="C126" s="8">
        <v>651896652202</v>
      </c>
      <c r="D126" s="6" t="s">
        <v>94</v>
      </c>
      <c r="E126" s="18">
        <v>2</v>
      </c>
      <c r="F126" s="14">
        <v>24.99</v>
      </c>
      <c r="G126" s="14">
        <v>49.98</v>
      </c>
      <c r="H126" s="7" t="s">
        <v>950</v>
      </c>
      <c r="I126" s="7" t="s">
        <v>947</v>
      </c>
      <c r="J126" s="7" t="s">
        <v>1248</v>
      </c>
      <c r="K126" s="7" t="str">
        <f>HYPERLINK("http://slimages.macys.com/is/image/MCY/18772607 ")</f>
        <v xml:space="preserve">http://slimages.macys.com/is/image/MCY/18772607 </v>
      </c>
    </row>
    <row r="127" spans="1:11" ht="20.100000000000001" customHeight="1" x14ac:dyDescent="0.25">
      <c r="A127" s="12" t="s">
        <v>1296</v>
      </c>
      <c r="B127" s="13">
        <v>13770172</v>
      </c>
      <c r="C127" s="8">
        <v>651896652202</v>
      </c>
      <c r="D127" s="6" t="s">
        <v>94</v>
      </c>
      <c r="E127" s="18">
        <v>1</v>
      </c>
      <c r="F127" s="14">
        <v>24.99</v>
      </c>
      <c r="G127" s="14">
        <v>24.99</v>
      </c>
      <c r="H127" s="7" t="s">
        <v>950</v>
      </c>
      <c r="I127" s="7" t="s">
        <v>947</v>
      </c>
      <c r="J127" s="7" t="s">
        <v>1248</v>
      </c>
      <c r="K127" s="7" t="str">
        <f>HYPERLINK("http://slimages.macys.com/is/image/MCY/18772607 ")</f>
        <v xml:space="preserve">http://slimages.macys.com/is/image/MCY/18772607 </v>
      </c>
    </row>
    <row r="128" spans="1:11" ht="20.100000000000001" customHeight="1" x14ac:dyDescent="0.25">
      <c r="A128" s="12" t="s">
        <v>1296</v>
      </c>
      <c r="B128" s="13">
        <v>13770172</v>
      </c>
      <c r="C128" s="8">
        <v>651896652226</v>
      </c>
      <c r="D128" s="6" t="s">
        <v>1265</v>
      </c>
      <c r="E128" s="18">
        <v>2</v>
      </c>
      <c r="F128" s="14">
        <v>24.99</v>
      </c>
      <c r="G128" s="14">
        <v>49.98</v>
      </c>
      <c r="H128" s="7" t="s">
        <v>1068</v>
      </c>
      <c r="I128" s="7" t="s">
        <v>947</v>
      </c>
      <c r="J128" s="7" t="s">
        <v>1248</v>
      </c>
      <c r="K128" s="7" t="str">
        <f>HYPERLINK("http://slimages.macys.com/is/image/MCY/18772611 ")</f>
        <v xml:space="preserve">http://slimages.macys.com/is/image/MCY/18772611 </v>
      </c>
    </row>
    <row r="129" spans="1:11" ht="20.100000000000001" customHeight="1" x14ac:dyDescent="0.25">
      <c r="A129" s="12" t="s">
        <v>1296</v>
      </c>
      <c r="B129" s="13">
        <v>13770172</v>
      </c>
      <c r="C129" s="8">
        <v>651896655272</v>
      </c>
      <c r="D129" s="6" t="s">
        <v>1370</v>
      </c>
      <c r="E129" s="18">
        <v>1</v>
      </c>
      <c r="F129" s="14">
        <v>29.99</v>
      </c>
      <c r="G129" s="14">
        <v>29.99</v>
      </c>
      <c r="H129" s="7" t="s">
        <v>1036</v>
      </c>
      <c r="I129" s="7" t="s">
        <v>947</v>
      </c>
      <c r="J129" s="7" t="s">
        <v>1248</v>
      </c>
      <c r="K129" s="7" t="str">
        <f>HYPERLINK("http://slimages.macys.com/is/image/MCY/19530851 ")</f>
        <v xml:space="preserve">http://slimages.macys.com/is/image/MCY/19530851 </v>
      </c>
    </row>
    <row r="130" spans="1:11" ht="20.100000000000001" customHeight="1" x14ac:dyDescent="0.25">
      <c r="A130" s="12" t="s">
        <v>1296</v>
      </c>
      <c r="B130" s="13">
        <v>13770172</v>
      </c>
      <c r="C130" s="8">
        <v>651896655289</v>
      </c>
      <c r="D130" s="6" t="s">
        <v>95</v>
      </c>
      <c r="E130" s="18">
        <v>2</v>
      </c>
      <c r="F130" s="14">
        <v>29.99</v>
      </c>
      <c r="G130" s="14">
        <v>59.98</v>
      </c>
      <c r="H130" s="7" t="s">
        <v>1023</v>
      </c>
      <c r="I130" s="7" t="s">
        <v>947</v>
      </c>
      <c r="J130" s="7" t="s">
        <v>1248</v>
      </c>
      <c r="K130" s="7" t="str">
        <f>HYPERLINK("http://slimages.macys.com/is/image/MCY/19530851 ")</f>
        <v xml:space="preserve">http://slimages.macys.com/is/image/MCY/19530851 </v>
      </c>
    </row>
    <row r="131" spans="1:11" ht="20.100000000000001" customHeight="1" x14ac:dyDescent="0.25">
      <c r="A131" s="12" t="s">
        <v>1296</v>
      </c>
      <c r="B131" s="13">
        <v>13770172</v>
      </c>
      <c r="C131" s="8">
        <v>655385026222</v>
      </c>
      <c r="D131" s="6" t="s">
        <v>96</v>
      </c>
      <c r="E131" s="18">
        <v>1</v>
      </c>
      <c r="F131" s="14">
        <v>34.99</v>
      </c>
      <c r="G131" s="14">
        <v>34.99</v>
      </c>
      <c r="H131" s="7" t="s">
        <v>1001</v>
      </c>
      <c r="I131" s="7" t="s">
        <v>939</v>
      </c>
      <c r="J131" s="7" t="s">
        <v>964</v>
      </c>
      <c r="K131" s="7" t="str">
        <f>HYPERLINK("http://slimages.macys.com/is/image/MCY/9616503 ")</f>
        <v xml:space="preserve">http://slimages.macys.com/is/image/MCY/9616503 </v>
      </c>
    </row>
    <row r="132" spans="1:11" ht="20.100000000000001" customHeight="1" x14ac:dyDescent="0.25">
      <c r="A132" s="12" t="s">
        <v>1296</v>
      </c>
      <c r="B132" s="13">
        <v>13770172</v>
      </c>
      <c r="C132" s="8">
        <v>655385107136</v>
      </c>
      <c r="D132" s="6" t="s">
        <v>97</v>
      </c>
      <c r="E132" s="18">
        <v>1</v>
      </c>
      <c r="F132" s="14">
        <v>24.99</v>
      </c>
      <c r="G132" s="14">
        <v>24.99</v>
      </c>
      <c r="H132" s="7" t="s">
        <v>1036</v>
      </c>
      <c r="I132" s="7" t="s">
        <v>939</v>
      </c>
      <c r="J132" s="7" t="s">
        <v>964</v>
      </c>
      <c r="K132" s="7" t="str">
        <f>HYPERLINK("http://slimages.macys.com/is/image/MCY/10042276 ")</f>
        <v xml:space="preserve">http://slimages.macys.com/is/image/MCY/10042276 </v>
      </c>
    </row>
    <row r="133" spans="1:11" ht="20.100000000000001" customHeight="1" x14ac:dyDescent="0.25">
      <c r="A133" s="12" t="s">
        <v>1296</v>
      </c>
      <c r="B133" s="13">
        <v>13770172</v>
      </c>
      <c r="C133" s="8">
        <v>655385183888</v>
      </c>
      <c r="D133" s="6" t="s">
        <v>98</v>
      </c>
      <c r="E133" s="18">
        <v>1</v>
      </c>
      <c r="F133" s="14">
        <v>27.99</v>
      </c>
      <c r="G133" s="14">
        <v>27.99</v>
      </c>
      <c r="H133" s="7" t="s">
        <v>1001</v>
      </c>
      <c r="I133" s="7" t="s">
        <v>939</v>
      </c>
      <c r="J133" s="7" t="s">
        <v>964</v>
      </c>
      <c r="K133" s="7" t="str">
        <f>HYPERLINK("http://slimages.macys.com/is/image/MCY/9846985 ")</f>
        <v xml:space="preserve">http://slimages.macys.com/is/image/MCY/9846985 </v>
      </c>
    </row>
    <row r="134" spans="1:11" ht="20.100000000000001" customHeight="1" x14ac:dyDescent="0.25">
      <c r="A134" s="12" t="s">
        <v>1296</v>
      </c>
      <c r="B134" s="13">
        <v>13770172</v>
      </c>
      <c r="C134" s="8">
        <v>664393001497</v>
      </c>
      <c r="D134" s="6" t="s">
        <v>99</v>
      </c>
      <c r="E134" s="18">
        <v>1</v>
      </c>
      <c r="F134" s="14">
        <v>33.99</v>
      </c>
      <c r="G134" s="14">
        <v>33.99</v>
      </c>
      <c r="H134" s="7" t="s">
        <v>1082</v>
      </c>
      <c r="I134" s="7" t="s">
        <v>947</v>
      </c>
      <c r="J134" s="7" t="s">
        <v>100</v>
      </c>
      <c r="K134" s="7" t="str">
        <f>HYPERLINK("http://slimages.macys.com/is/image/MCY/15182087 ")</f>
        <v xml:space="preserve">http://slimages.macys.com/is/image/MCY/15182087 </v>
      </c>
    </row>
    <row r="135" spans="1:11" ht="20.100000000000001" customHeight="1" x14ac:dyDescent="0.25">
      <c r="A135" s="12" t="s">
        <v>1296</v>
      </c>
      <c r="B135" s="13">
        <v>13770172</v>
      </c>
      <c r="C135" s="8">
        <v>671826893734</v>
      </c>
      <c r="D135" s="6" t="s">
        <v>101</v>
      </c>
      <c r="E135" s="18">
        <v>5</v>
      </c>
      <c r="F135" s="14">
        <v>64.989999999999995</v>
      </c>
      <c r="G135" s="14">
        <v>324.95</v>
      </c>
      <c r="H135" s="7" t="s">
        <v>1048</v>
      </c>
      <c r="I135" s="7" t="s">
        <v>947</v>
      </c>
      <c r="J135" s="7" t="s">
        <v>1112</v>
      </c>
      <c r="K135" s="7" t="str">
        <f>HYPERLINK("http://slimages.macys.com/is/image/MCY/12305584 ")</f>
        <v xml:space="preserve">http://slimages.macys.com/is/image/MCY/12305584 </v>
      </c>
    </row>
    <row r="136" spans="1:11" ht="20.100000000000001" customHeight="1" x14ac:dyDescent="0.25">
      <c r="A136" s="12" t="s">
        <v>1296</v>
      </c>
      <c r="B136" s="13">
        <v>13770172</v>
      </c>
      <c r="C136" s="8">
        <v>671826933973</v>
      </c>
      <c r="D136" s="6" t="s">
        <v>102</v>
      </c>
      <c r="E136" s="18">
        <v>1</v>
      </c>
      <c r="F136" s="14">
        <v>61.99</v>
      </c>
      <c r="G136" s="14">
        <v>61.99</v>
      </c>
      <c r="H136" s="7" t="s">
        <v>987</v>
      </c>
      <c r="I136" s="7" t="s">
        <v>947</v>
      </c>
      <c r="J136" s="7" t="s">
        <v>1112</v>
      </c>
      <c r="K136" s="7" t="str">
        <f>HYPERLINK("http://slimages.macys.com/is/image/MCY/12306186 ")</f>
        <v xml:space="preserve">http://slimages.macys.com/is/image/MCY/12306186 </v>
      </c>
    </row>
    <row r="137" spans="1:11" ht="20.100000000000001" customHeight="1" x14ac:dyDescent="0.25">
      <c r="A137" s="12" t="s">
        <v>1296</v>
      </c>
      <c r="B137" s="13">
        <v>13770172</v>
      </c>
      <c r="C137" s="8">
        <v>671826984784</v>
      </c>
      <c r="D137" s="6" t="s">
        <v>103</v>
      </c>
      <c r="E137" s="18">
        <v>1</v>
      </c>
      <c r="F137" s="14">
        <v>52.99</v>
      </c>
      <c r="G137" s="14">
        <v>52.99</v>
      </c>
      <c r="H137" s="7" t="s">
        <v>1145</v>
      </c>
      <c r="I137" s="7" t="s">
        <v>947</v>
      </c>
      <c r="J137" s="7" t="s">
        <v>1112</v>
      </c>
      <c r="K137" s="7" t="str">
        <f>HYPERLINK("http://slimages.macys.com/is/image/MCY/12309321 ")</f>
        <v xml:space="preserve">http://slimages.macys.com/is/image/MCY/12309321 </v>
      </c>
    </row>
    <row r="138" spans="1:11" ht="20.100000000000001" customHeight="1" x14ac:dyDescent="0.25">
      <c r="A138" s="12" t="s">
        <v>1296</v>
      </c>
      <c r="B138" s="13">
        <v>13770172</v>
      </c>
      <c r="C138" s="8">
        <v>671826984784</v>
      </c>
      <c r="D138" s="6" t="s">
        <v>103</v>
      </c>
      <c r="E138" s="18">
        <v>1</v>
      </c>
      <c r="F138" s="14">
        <v>52.99</v>
      </c>
      <c r="G138" s="14">
        <v>52.99</v>
      </c>
      <c r="H138" s="7" t="s">
        <v>1145</v>
      </c>
      <c r="I138" s="7" t="s">
        <v>947</v>
      </c>
      <c r="J138" s="7" t="s">
        <v>1112</v>
      </c>
      <c r="K138" s="7" t="str">
        <f>HYPERLINK("http://slimages.macys.com/is/image/MCY/12309321 ")</f>
        <v xml:space="preserve">http://slimages.macys.com/is/image/MCY/12309321 </v>
      </c>
    </row>
    <row r="139" spans="1:11" ht="20.100000000000001" customHeight="1" x14ac:dyDescent="0.25">
      <c r="A139" s="12" t="s">
        <v>1296</v>
      </c>
      <c r="B139" s="13">
        <v>13770172</v>
      </c>
      <c r="C139" s="8">
        <v>671826984784</v>
      </c>
      <c r="D139" s="6" t="s">
        <v>103</v>
      </c>
      <c r="E139" s="18">
        <v>1</v>
      </c>
      <c r="F139" s="14">
        <v>52.99</v>
      </c>
      <c r="G139" s="14">
        <v>52.99</v>
      </c>
      <c r="H139" s="7" t="s">
        <v>1145</v>
      </c>
      <c r="I139" s="7" t="s">
        <v>947</v>
      </c>
      <c r="J139" s="7" t="s">
        <v>1112</v>
      </c>
      <c r="K139" s="7" t="str">
        <f>HYPERLINK("http://slimages.macys.com/is/image/MCY/12309321 ")</f>
        <v xml:space="preserve">http://slimages.macys.com/is/image/MCY/12309321 </v>
      </c>
    </row>
    <row r="140" spans="1:11" ht="20.100000000000001" customHeight="1" x14ac:dyDescent="0.25">
      <c r="A140" s="12" t="s">
        <v>1296</v>
      </c>
      <c r="B140" s="13">
        <v>13770172</v>
      </c>
      <c r="C140" s="8">
        <v>671826989611</v>
      </c>
      <c r="D140" s="6" t="s">
        <v>104</v>
      </c>
      <c r="E140" s="18">
        <v>3</v>
      </c>
      <c r="F140" s="14">
        <v>41.99</v>
      </c>
      <c r="G140" s="14">
        <v>125.97</v>
      </c>
      <c r="H140" s="7" t="s">
        <v>1025</v>
      </c>
      <c r="I140" s="7" t="s">
        <v>947</v>
      </c>
      <c r="J140" s="7" t="s">
        <v>1112</v>
      </c>
      <c r="K140" s="7" t="str">
        <f>HYPERLINK("http://slimages.macys.com/is/image/MCY/12473411 ")</f>
        <v xml:space="preserve">http://slimages.macys.com/is/image/MCY/12473411 </v>
      </c>
    </row>
    <row r="141" spans="1:11" ht="20.100000000000001" customHeight="1" x14ac:dyDescent="0.25">
      <c r="A141" s="12" t="s">
        <v>1296</v>
      </c>
      <c r="B141" s="13">
        <v>13770172</v>
      </c>
      <c r="C141" s="8">
        <v>675716407421</v>
      </c>
      <c r="D141" s="6" t="s">
        <v>105</v>
      </c>
      <c r="E141" s="18">
        <v>1</v>
      </c>
      <c r="F141" s="14">
        <v>134.99</v>
      </c>
      <c r="G141" s="14">
        <v>134.99</v>
      </c>
      <c r="H141" s="7" t="s">
        <v>952</v>
      </c>
      <c r="I141" s="7" t="s">
        <v>945</v>
      </c>
      <c r="J141" s="7" t="s">
        <v>955</v>
      </c>
      <c r="K141" s="7" t="str">
        <f>HYPERLINK("http://slimages.macys.com/is/image/MCY/8932066 ")</f>
        <v xml:space="preserve">http://slimages.macys.com/is/image/MCY/8932066 </v>
      </c>
    </row>
    <row r="142" spans="1:11" ht="20.100000000000001" customHeight="1" x14ac:dyDescent="0.25">
      <c r="A142" s="12" t="s">
        <v>1296</v>
      </c>
      <c r="B142" s="13">
        <v>13770172</v>
      </c>
      <c r="C142" s="8">
        <v>675716455316</v>
      </c>
      <c r="D142" s="6" t="s">
        <v>106</v>
      </c>
      <c r="E142" s="18">
        <v>1</v>
      </c>
      <c r="F142" s="14">
        <v>129.99</v>
      </c>
      <c r="G142" s="14">
        <v>129.99</v>
      </c>
      <c r="H142" s="7" t="s">
        <v>981</v>
      </c>
      <c r="I142" s="7" t="s">
        <v>945</v>
      </c>
      <c r="J142" s="7" t="s">
        <v>955</v>
      </c>
      <c r="K142" s="7" t="str">
        <f>HYPERLINK("http://slimages.macys.com/is/image/MCY/8930319 ")</f>
        <v xml:space="preserve">http://slimages.macys.com/is/image/MCY/8930319 </v>
      </c>
    </row>
    <row r="143" spans="1:11" ht="20.100000000000001" customHeight="1" x14ac:dyDescent="0.25">
      <c r="A143" s="12" t="s">
        <v>1296</v>
      </c>
      <c r="B143" s="13">
        <v>13770172</v>
      </c>
      <c r="C143" s="8">
        <v>675716455996</v>
      </c>
      <c r="D143" s="6" t="s">
        <v>107</v>
      </c>
      <c r="E143" s="18">
        <v>1</v>
      </c>
      <c r="F143" s="14">
        <v>55.99</v>
      </c>
      <c r="G143" s="14">
        <v>55.99</v>
      </c>
      <c r="H143" s="7" t="s">
        <v>950</v>
      </c>
      <c r="I143" s="7" t="s">
        <v>945</v>
      </c>
      <c r="J143" s="7" t="s">
        <v>955</v>
      </c>
      <c r="K143" s="7" t="str">
        <f>HYPERLINK("http://slimages.macys.com/is/image/MCY/9777968 ")</f>
        <v xml:space="preserve">http://slimages.macys.com/is/image/MCY/9777968 </v>
      </c>
    </row>
    <row r="144" spans="1:11" ht="20.100000000000001" customHeight="1" x14ac:dyDescent="0.25">
      <c r="A144" s="12" t="s">
        <v>1296</v>
      </c>
      <c r="B144" s="13">
        <v>13770172</v>
      </c>
      <c r="C144" s="8">
        <v>675716465223</v>
      </c>
      <c r="D144" s="6" t="s">
        <v>108</v>
      </c>
      <c r="E144" s="18">
        <v>1</v>
      </c>
      <c r="F144" s="14">
        <v>89.99</v>
      </c>
      <c r="G144" s="14">
        <v>89.99</v>
      </c>
      <c r="H144" s="7" t="s">
        <v>109</v>
      </c>
      <c r="I144" s="7" t="s">
        <v>1017</v>
      </c>
      <c r="J144" s="7" t="s">
        <v>955</v>
      </c>
      <c r="K144" s="7" t="str">
        <f>HYPERLINK("http://slimages.macys.com/is/image/MCY/16528887 ")</f>
        <v xml:space="preserve">http://slimages.macys.com/is/image/MCY/16528887 </v>
      </c>
    </row>
    <row r="145" spans="1:11" ht="20.100000000000001" customHeight="1" x14ac:dyDescent="0.25">
      <c r="A145" s="12" t="s">
        <v>1296</v>
      </c>
      <c r="B145" s="13">
        <v>13770172</v>
      </c>
      <c r="C145" s="8">
        <v>675716490645</v>
      </c>
      <c r="D145" s="6" t="s">
        <v>110</v>
      </c>
      <c r="E145" s="18">
        <v>1</v>
      </c>
      <c r="F145" s="14">
        <v>77.989999999999995</v>
      </c>
      <c r="G145" s="14">
        <v>77.989999999999995</v>
      </c>
      <c r="H145" s="7" t="s">
        <v>1050</v>
      </c>
      <c r="I145" s="7" t="s">
        <v>947</v>
      </c>
      <c r="J145" s="7" t="s">
        <v>955</v>
      </c>
      <c r="K145" s="7" t="str">
        <f>HYPERLINK("http://slimages.macys.com/is/image/MCY/12071160 ")</f>
        <v xml:space="preserve">http://slimages.macys.com/is/image/MCY/12071160 </v>
      </c>
    </row>
    <row r="146" spans="1:11" ht="20.100000000000001" customHeight="1" x14ac:dyDescent="0.25">
      <c r="A146" s="12" t="s">
        <v>1296</v>
      </c>
      <c r="B146" s="13">
        <v>13770172</v>
      </c>
      <c r="C146" s="8">
        <v>675716546793</v>
      </c>
      <c r="D146" s="6" t="s">
        <v>1162</v>
      </c>
      <c r="E146" s="18">
        <v>1</v>
      </c>
      <c r="F146" s="14">
        <v>105.99</v>
      </c>
      <c r="G146" s="14">
        <v>105.99</v>
      </c>
      <c r="H146" s="7" t="s">
        <v>952</v>
      </c>
      <c r="I146" s="7" t="s">
        <v>947</v>
      </c>
      <c r="J146" s="7" t="s">
        <v>955</v>
      </c>
      <c r="K146" s="7" t="str">
        <f>HYPERLINK("http://slimages.macys.com/is/image/MCY/12056510 ")</f>
        <v xml:space="preserve">http://slimages.macys.com/is/image/MCY/12056510 </v>
      </c>
    </row>
    <row r="147" spans="1:11" ht="20.100000000000001" customHeight="1" x14ac:dyDescent="0.25">
      <c r="A147" s="12" t="s">
        <v>1296</v>
      </c>
      <c r="B147" s="13">
        <v>13770172</v>
      </c>
      <c r="C147" s="8">
        <v>675716549770</v>
      </c>
      <c r="D147" s="6" t="s">
        <v>111</v>
      </c>
      <c r="E147" s="18">
        <v>1</v>
      </c>
      <c r="F147" s="14">
        <v>31.99</v>
      </c>
      <c r="G147" s="14">
        <v>31.99</v>
      </c>
      <c r="H147" s="7" t="s">
        <v>944</v>
      </c>
      <c r="I147" s="7" t="s">
        <v>947</v>
      </c>
      <c r="J147" s="7" t="s">
        <v>955</v>
      </c>
      <c r="K147" s="7" t="str">
        <f>HYPERLINK("http://slimages.macys.com/is/image/MCY/9615995 ")</f>
        <v xml:space="preserve">http://slimages.macys.com/is/image/MCY/9615995 </v>
      </c>
    </row>
    <row r="148" spans="1:11" ht="20.100000000000001" customHeight="1" x14ac:dyDescent="0.25">
      <c r="A148" s="12" t="s">
        <v>1296</v>
      </c>
      <c r="B148" s="13">
        <v>13770172</v>
      </c>
      <c r="C148" s="8">
        <v>675716638122</v>
      </c>
      <c r="D148" s="6" t="s">
        <v>112</v>
      </c>
      <c r="E148" s="18">
        <v>1</v>
      </c>
      <c r="F148" s="14">
        <v>44.99</v>
      </c>
      <c r="G148" s="14">
        <v>44.99</v>
      </c>
      <c r="H148" s="7" t="s">
        <v>941</v>
      </c>
      <c r="I148" s="7" t="s">
        <v>1017</v>
      </c>
      <c r="J148" s="7" t="s">
        <v>955</v>
      </c>
      <c r="K148" s="7" t="str">
        <f>HYPERLINK("http://slimages.macys.com/is/image/MCY/9115090 ")</f>
        <v xml:space="preserve">http://slimages.macys.com/is/image/MCY/9115090 </v>
      </c>
    </row>
    <row r="149" spans="1:11" ht="20.100000000000001" customHeight="1" x14ac:dyDescent="0.25">
      <c r="A149" s="12" t="s">
        <v>1296</v>
      </c>
      <c r="B149" s="13">
        <v>13770172</v>
      </c>
      <c r="C149" s="8">
        <v>675716674830</v>
      </c>
      <c r="D149" s="6" t="s">
        <v>113</v>
      </c>
      <c r="E149" s="18">
        <v>1</v>
      </c>
      <c r="F149" s="14">
        <v>55.99</v>
      </c>
      <c r="G149" s="14">
        <v>55.99</v>
      </c>
      <c r="H149" s="7" t="s">
        <v>944</v>
      </c>
      <c r="I149" s="7" t="s">
        <v>947</v>
      </c>
      <c r="J149" s="7" t="s">
        <v>955</v>
      </c>
      <c r="K149" s="7" t="str">
        <f>HYPERLINK("http://slimages.macys.com/is/image/MCY/9775066 ")</f>
        <v xml:space="preserve">http://slimages.macys.com/is/image/MCY/9775066 </v>
      </c>
    </row>
    <row r="150" spans="1:11" ht="20.100000000000001" customHeight="1" x14ac:dyDescent="0.25">
      <c r="A150" s="12" t="s">
        <v>1296</v>
      </c>
      <c r="B150" s="13">
        <v>13770172</v>
      </c>
      <c r="C150" s="8">
        <v>675716719258</v>
      </c>
      <c r="D150" s="6" t="s">
        <v>114</v>
      </c>
      <c r="E150" s="18">
        <v>1</v>
      </c>
      <c r="F150" s="14">
        <v>27.99</v>
      </c>
      <c r="G150" s="14">
        <v>27.99</v>
      </c>
      <c r="H150" s="7" t="s">
        <v>950</v>
      </c>
      <c r="I150" s="7" t="s">
        <v>939</v>
      </c>
      <c r="J150" s="7" t="s">
        <v>1038</v>
      </c>
      <c r="K150" s="7" t="str">
        <f>HYPERLINK("http://slimages.macys.com/is/image/MCY/15710262 ")</f>
        <v xml:space="preserve">http://slimages.macys.com/is/image/MCY/15710262 </v>
      </c>
    </row>
    <row r="151" spans="1:11" ht="20.100000000000001" customHeight="1" x14ac:dyDescent="0.25">
      <c r="A151" s="12" t="s">
        <v>1296</v>
      </c>
      <c r="B151" s="13">
        <v>13770172</v>
      </c>
      <c r="C151" s="8">
        <v>675716762650</v>
      </c>
      <c r="D151" s="6" t="s">
        <v>115</v>
      </c>
      <c r="E151" s="18">
        <v>1</v>
      </c>
      <c r="F151" s="14">
        <v>34.99</v>
      </c>
      <c r="G151" s="14">
        <v>34.99</v>
      </c>
      <c r="H151" s="7" t="s">
        <v>1236</v>
      </c>
      <c r="I151" s="7" t="s">
        <v>947</v>
      </c>
      <c r="J151" s="7" t="s">
        <v>955</v>
      </c>
      <c r="K151" s="7" t="str">
        <f>HYPERLINK("http://slimages.macys.com/is/image/MCY/8810083 ")</f>
        <v xml:space="preserve">http://slimages.macys.com/is/image/MCY/8810083 </v>
      </c>
    </row>
    <row r="152" spans="1:11" ht="20.100000000000001" customHeight="1" x14ac:dyDescent="0.25">
      <c r="A152" s="12" t="s">
        <v>1296</v>
      </c>
      <c r="B152" s="13">
        <v>13770172</v>
      </c>
      <c r="C152" s="8">
        <v>675716766795</v>
      </c>
      <c r="D152" s="6" t="s">
        <v>116</v>
      </c>
      <c r="E152" s="18">
        <v>2</v>
      </c>
      <c r="F152" s="14">
        <v>39.99</v>
      </c>
      <c r="G152" s="14">
        <v>79.98</v>
      </c>
      <c r="H152" s="7" t="s">
        <v>952</v>
      </c>
      <c r="I152" s="7" t="s">
        <v>947</v>
      </c>
      <c r="J152" s="7" t="s">
        <v>955</v>
      </c>
      <c r="K152" s="7" t="str">
        <f>HYPERLINK("http://slimages.macys.com/is/image/MCY/8064912 ")</f>
        <v xml:space="preserve">http://slimages.macys.com/is/image/MCY/8064912 </v>
      </c>
    </row>
    <row r="153" spans="1:11" ht="20.100000000000001" customHeight="1" x14ac:dyDescent="0.25">
      <c r="A153" s="12" t="s">
        <v>1296</v>
      </c>
      <c r="B153" s="13">
        <v>13770172</v>
      </c>
      <c r="C153" s="8">
        <v>675716766825</v>
      </c>
      <c r="D153" s="6" t="s">
        <v>117</v>
      </c>
      <c r="E153" s="18">
        <v>1</v>
      </c>
      <c r="F153" s="14">
        <v>39.99</v>
      </c>
      <c r="G153" s="14">
        <v>39.99</v>
      </c>
      <c r="H153" s="7" t="s">
        <v>950</v>
      </c>
      <c r="I153" s="7" t="s">
        <v>947</v>
      </c>
      <c r="J153" s="7" t="s">
        <v>955</v>
      </c>
      <c r="K153" s="7" t="str">
        <f>HYPERLINK("http://slimages.macys.com/is/image/MCY/8064912 ")</f>
        <v xml:space="preserve">http://slimages.macys.com/is/image/MCY/8064912 </v>
      </c>
    </row>
    <row r="154" spans="1:11" ht="20.100000000000001" customHeight="1" x14ac:dyDescent="0.25">
      <c r="A154" s="12" t="s">
        <v>1296</v>
      </c>
      <c r="B154" s="13">
        <v>13770172</v>
      </c>
      <c r="C154" s="8">
        <v>675716772567</v>
      </c>
      <c r="D154" s="6" t="s">
        <v>1568</v>
      </c>
      <c r="E154" s="18">
        <v>1</v>
      </c>
      <c r="F154" s="14">
        <v>19.989999999999998</v>
      </c>
      <c r="G154" s="14">
        <v>19.989999999999998</v>
      </c>
      <c r="H154" s="7" t="s">
        <v>952</v>
      </c>
      <c r="I154" s="7" t="s">
        <v>947</v>
      </c>
      <c r="J154" s="7" t="s">
        <v>955</v>
      </c>
      <c r="K154" s="7" t="str">
        <f>HYPERLINK("http://slimages.macys.com/is/image/MCY/9613896 ")</f>
        <v xml:space="preserve">http://slimages.macys.com/is/image/MCY/9613896 </v>
      </c>
    </row>
    <row r="155" spans="1:11" ht="20.100000000000001" customHeight="1" x14ac:dyDescent="0.25">
      <c r="A155" s="12" t="s">
        <v>1296</v>
      </c>
      <c r="B155" s="13">
        <v>13770172</v>
      </c>
      <c r="C155" s="8">
        <v>675716772574</v>
      </c>
      <c r="D155" s="6" t="s">
        <v>1311</v>
      </c>
      <c r="E155" s="18">
        <v>1</v>
      </c>
      <c r="F155" s="14">
        <v>19.989999999999998</v>
      </c>
      <c r="G155" s="14">
        <v>19.989999999999998</v>
      </c>
      <c r="H155" s="7" t="s">
        <v>988</v>
      </c>
      <c r="I155" s="7" t="s">
        <v>947</v>
      </c>
      <c r="J155" s="7" t="s">
        <v>955</v>
      </c>
      <c r="K155" s="7" t="str">
        <f>HYPERLINK("http://slimages.macys.com/is/image/MCY/9613896 ")</f>
        <v xml:space="preserve">http://slimages.macys.com/is/image/MCY/9613896 </v>
      </c>
    </row>
    <row r="156" spans="1:11" ht="20.100000000000001" customHeight="1" x14ac:dyDescent="0.25">
      <c r="A156" s="12" t="s">
        <v>1296</v>
      </c>
      <c r="B156" s="13">
        <v>13770172</v>
      </c>
      <c r="C156" s="8">
        <v>675716775544</v>
      </c>
      <c r="D156" s="6" t="s">
        <v>118</v>
      </c>
      <c r="E156" s="18">
        <v>1</v>
      </c>
      <c r="F156" s="14">
        <v>29.99</v>
      </c>
      <c r="G156" s="14">
        <v>29.99</v>
      </c>
      <c r="H156" s="7" t="s">
        <v>944</v>
      </c>
      <c r="I156" s="7" t="s">
        <v>947</v>
      </c>
      <c r="J156" s="7" t="s">
        <v>955</v>
      </c>
      <c r="K156" s="7" t="str">
        <f>HYPERLINK("http://slimages.macys.com/is/image/MCY/9602958 ")</f>
        <v xml:space="preserve">http://slimages.macys.com/is/image/MCY/9602958 </v>
      </c>
    </row>
    <row r="157" spans="1:11" ht="20.100000000000001" customHeight="1" x14ac:dyDescent="0.25">
      <c r="A157" s="12" t="s">
        <v>1296</v>
      </c>
      <c r="B157" s="13">
        <v>13770172</v>
      </c>
      <c r="C157" s="8">
        <v>675716811594</v>
      </c>
      <c r="D157" s="6" t="s">
        <v>119</v>
      </c>
      <c r="E157" s="18">
        <v>1</v>
      </c>
      <c r="F157" s="14">
        <v>157.99</v>
      </c>
      <c r="G157" s="14">
        <v>157.99</v>
      </c>
      <c r="H157" s="7" t="s">
        <v>941</v>
      </c>
      <c r="I157" s="7" t="s">
        <v>1342</v>
      </c>
      <c r="J157" s="7" t="s">
        <v>1105</v>
      </c>
      <c r="K157" s="7" t="str">
        <f>HYPERLINK("http://slimages.macys.com/is/image/MCY/9930120 ")</f>
        <v xml:space="preserve">http://slimages.macys.com/is/image/MCY/9930120 </v>
      </c>
    </row>
    <row r="158" spans="1:11" ht="20.100000000000001" customHeight="1" x14ac:dyDescent="0.25">
      <c r="A158" s="12" t="s">
        <v>1296</v>
      </c>
      <c r="B158" s="13">
        <v>13770172</v>
      </c>
      <c r="C158" s="8">
        <v>675716980917</v>
      </c>
      <c r="D158" s="6" t="s">
        <v>120</v>
      </c>
      <c r="E158" s="18">
        <v>1</v>
      </c>
      <c r="F158" s="14">
        <v>109.99</v>
      </c>
      <c r="G158" s="14">
        <v>109.99</v>
      </c>
      <c r="H158" s="7" t="s">
        <v>1026</v>
      </c>
      <c r="I158" s="7" t="s">
        <v>947</v>
      </c>
      <c r="J158" s="7" t="s">
        <v>955</v>
      </c>
      <c r="K158" s="7" t="str">
        <f>HYPERLINK("http://slimages.macys.com/is/image/MCY/9147690 ")</f>
        <v xml:space="preserve">http://slimages.macys.com/is/image/MCY/9147690 </v>
      </c>
    </row>
    <row r="159" spans="1:11" ht="20.100000000000001" customHeight="1" x14ac:dyDescent="0.25">
      <c r="A159" s="12" t="s">
        <v>1296</v>
      </c>
      <c r="B159" s="13">
        <v>13770172</v>
      </c>
      <c r="C159" s="8">
        <v>675716980924</v>
      </c>
      <c r="D159" s="6" t="s">
        <v>121</v>
      </c>
      <c r="E159" s="18">
        <v>1</v>
      </c>
      <c r="F159" s="14">
        <v>109.99</v>
      </c>
      <c r="G159" s="14">
        <v>109.99</v>
      </c>
      <c r="H159" s="7" t="s">
        <v>944</v>
      </c>
      <c r="I159" s="7" t="s">
        <v>947</v>
      </c>
      <c r="J159" s="7" t="s">
        <v>955</v>
      </c>
      <c r="K159" s="7" t="str">
        <f>HYPERLINK("http://slimages.macys.com/is/image/MCY/9147690 ")</f>
        <v xml:space="preserve">http://slimages.macys.com/is/image/MCY/9147690 </v>
      </c>
    </row>
    <row r="160" spans="1:11" ht="20.100000000000001" customHeight="1" x14ac:dyDescent="0.25">
      <c r="A160" s="12" t="s">
        <v>1296</v>
      </c>
      <c r="B160" s="13">
        <v>13770172</v>
      </c>
      <c r="C160" s="8">
        <v>679610822410</v>
      </c>
      <c r="D160" s="6" t="s">
        <v>712</v>
      </c>
      <c r="E160" s="18">
        <v>1</v>
      </c>
      <c r="F160" s="14">
        <v>179.99</v>
      </c>
      <c r="G160" s="14">
        <v>179.99</v>
      </c>
      <c r="H160" s="7" t="s">
        <v>1095</v>
      </c>
      <c r="I160" s="7" t="s">
        <v>945</v>
      </c>
      <c r="J160" s="7" t="s">
        <v>1055</v>
      </c>
      <c r="K160" s="7" t="str">
        <f>HYPERLINK("http://slimages.macys.com/is/image/MCY/17257919 ")</f>
        <v xml:space="preserve">http://slimages.macys.com/is/image/MCY/17257919 </v>
      </c>
    </row>
    <row r="161" spans="1:11" ht="20.100000000000001" customHeight="1" x14ac:dyDescent="0.25">
      <c r="A161" s="12" t="s">
        <v>1296</v>
      </c>
      <c r="B161" s="13">
        <v>13770172</v>
      </c>
      <c r="C161" s="8">
        <v>679610834444</v>
      </c>
      <c r="D161" s="6" t="s">
        <v>715</v>
      </c>
      <c r="E161" s="18">
        <v>1</v>
      </c>
      <c r="F161" s="14">
        <v>49.99</v>
      </c>
      <c r="G161" s="14">
        <v>49.99</v>
      </c>
      <c r="H161" s="7" t="s">
        <v>968</v>
      </c>
      <c r="I161" s="7" t="s">
        <v>945</v>
      </c>
      <c r="J161" s="7" t="s">
        <v>1055</v>
      </c>
      <c r="K161" s="7" t="str">
        <f>HYPERLINK("http://slimages.macys.com/is/image/MCY/18742991 ")</f>
        <v xml:space="preserve">http://slimages.macys.com/is/image/MCY/18742991 </v>
      </c>
    </row>
    <row r="162" spans="1:11" ht="20.100000000000001" customHeight="1" x14ac:dyDescent="0.25">
      <c r="A162" s="12" t="s">
        <v>1296</v>
      </c>
      <c r="B162" s="13">
        <v>13770172</v>
      </c>
      <c r="C162" s="8">
        <v>679610834703</v>
      </c>
      <c r="D162" s="6" t="s">
        <v>122</v>
      </c>
      <c r="E162" s="18">
        <v>1</v>
      </c>
      <c r="F162" s="14">
        <v>129.99</v>
      </c>
      <c r="G162" s="14">
        <v>129.99</v>
      </c>
      <c r="H162" s="7" t="s">
        <v>950</v>
      </c>
      <c r="I162" s="7" t="s">
        <v>945</v>
      </c>
      <c r="J162" s="7" t="s">
        <v>1055</v>
      </c>
      <c r="K162" s="7" t="str">
        <f>HYPERLINK("http://slimages.macys.com/is/image/MCY/18728131 ")</f>
        <v xml:space="preserve">http://slimages.macys.com/is/image/MCY/18728131 </v>
      </c>
    </row>
    <row r="163" spans="1:11" ht="20.100000000000001" customHeight="1" x14ac:dyDescent="0.25">
      <c r="A163" s="12" t="s">
        <v>1296</v>
      </c>
      <c r="B163" s="13">
        <v>13770172</v>
      </c>
      <c r="C163" s="8">
        <v>679610834840</v>
      </c>
      <c r="D163" s="6" t="s">
        <v>1243</v>
      </c>
      <c r="E163" s="18">
        <v>1</v>
      </c>
      <c r="F163" s="14">
        <v>59.99</v>
      </c>
      <c r="G163" s="14">
        <v>59.99</v>
      </c>
      <c r="H163" s="7" t="s">
        <v>991</v>
      </c>
      <c r="I163" s="7" t="s">
        <v>945</v>
      </c>
      <c r="J163" s="7" t="s">
        <v>1055</v>
      </c>
      <c r="K163" s="7" t="str">
        <f>HYPERLINK("http://slimages.macys.com/is/image/MCY/18743617 ")</f>
        <v xml:space="preserve">http://slimages.macys.com/is/image/MCY/18743617 </v>
      </c>
    </row>
    <row r="164" spans="1:11" ht="20.100000000000001" customHeight="1" x14ac:dyDescent="0.25">
      <c r="A164" s="12" t="s">
        <v>1296</v>
      </c>
      <c r="B164" s="13">
        <v>13770172</v>
      </c>
      <c r="C164" s="8">
        <v>681827992695</v>
      </c>
      <c r="D164" s="6" t="s">
        <v>1373</v>
      </c>
      <c r="E164" s="18">
        <v>1</v>
      </c>
      <c r="F164" s="14">
        <v>69.989999999999995</v>
      </c>
      <c r="G164" s="14">
        <v>69.989999999999995</v>
      </c>
      <c r="H164" s="7" t="s">
        <v>1068</v>
      </c>
      <c r="I164" s="7" t="s">
        <v>1017</v>
      </c>
      <c r="J164" s="7" t="s">
        <v>1212</v>
      </c>
      <c r="K164" s="7" t="str">
        <f>HYPERLINK("http://slimages.macys.com/is/image/MCY/18515438 ")</f>
        <v xml:space="preserve">http://slimages.macys.com/is/image/MCY/18515438 </v>
      </c>
    </row>
    <row r="165" spans="1:11" ht="20.100000000000001" customHeight="1" x14ac:dyDescent="0.25">
      <c r="A165" s="12" t="s">
        <v>1296</v>
      </c>
      <c r="B165" s="13">
        <v>13770172</v>
      </c>
      <c r="C165" s="8">
        <v>681827992770</v>
      </c>
      <c r="D165" s="6" t="s">
        <v>1374</v>
      </c>
      <c r="E165" s="18">
        <v>1</v>
      </c>
      <c r="F165" s="14">
        <v>69.989999999999995</v>
      </c>
      <c r="G165" s="14">
        <v>69.989999999999995</v>
      </c>
      <c r="H165" s="7" t="s">
        <v>1005</v>
      </c>
      <c r="I165" s="7" t="s">
        <v>1017</v>
      </c>
      <c r="J165" s="7" t="s">
        <v>1212</v>
      </c>
      <c r="K165" s="7" t="str">
        <f>HYPERLINK("http://slimages.macys.com/is/image/MCY/18515438 ")</f>
        <v xml:space="preserve">http://slimages.macys.com/is/image/MCY/18515438 </v>
      </c>
    </row>
    <row r="166" spans="1:11" ht="20.100000000000001" customHeight="1" x14ac:dyDescent="0.25">
      <c r="A166" s="12" t="s">
        <v>1296</v>
      </c>
      <c r="B166" s="13">
        <v>13770172</v>
      </c>
      <c r="C166" s="8">
        <v>688098907380</v>
      </c>
      <c r="D166" s="6" t="s">
        <v>123</v>
      </c>
      <c r="E166" s="18">
        <v>1</v>
      </c>
      <c r="F166" s="14">
        <v>19.989999999999998</v>
      </c>
      <c r="G166" s="14">
        <v>19.989999999999998</v>
      </c>
      <c r="H166" s="7" t="s">
        <v>1032</v>
      </c>
      <c r="I166" s="7" t="s">
        <v>958</v>
      </c>
      <c r="J166" s="7" t="s">
        <v>1375</v>
      </c>
      <c r="K166" s="7" t="str">
        <f>HYPERLINK("http://slimages.macys.com/is/image/MCY/14359194 ")</f>
        <v xml:space="preserve">http://slimages.macys.com/is/image/MCY/14359194 </v>
      </c>
    </row>
    <row r="167" spans="1:11" ht="20.100000000000001" customHeight="1" x14ac:dyDescent="0.25">
      <c r="A167" s="12" t="s">
        <v>1296</v>
      </c>
      <c r="B167" s="13">
        <v>13770172</v>
      </c>
      <c r="C167" s="8">
        <v>688098907403</v>
      </c>
      <c r="D167" s="6" t="s">
        <v>124</v>
      </c>
      <c r="E167" s="18">
        <v>1</v>
      </c>
      <c r="F167" s="14">
        <v>19.989999999999998</v>
      </c>
      <c r="G167" s="14">
        <v>19.989999999999998</v>
      </c>
      <c r="H167" s="7" t="s">
        <v>950</v>
      </c>
      <c r="I167" s="7" t="s">
        <v>958</v>
      </c>
      <c r="J167" s="7" t="s">
        <v>1375</v>
      </c>
      <c r="K167" s="7" t="str">
        <f>HYPERLINK("http://slimages.macys.com/is/image/MCY/14359194 ")</f>
        <v xml:space="preserve">http://slimages.macys.com/is/image/MCY/14359194 </v>
      </c>
    </row>
    <row r="168" spans="1:11" ht="20.100000000000001" customHeight="1" x14ac:dyDescent="0.25">
      <c r="A168" s="12" t="s">
        <v>1296</v>
      </c>
      <c r="B168" s="13">
        <v>13770172</v>
      </c>
      <c r="C168" s="8">
        <v>689439136605</v>
      </c>
      <c r="D168" s="6" t="s">
        <v>125</v>
      </c>
      <c r="E168" s="18">
        <v>1</v>
      </c>
      <c r="F168" s="14">
        <v>249.99</v>
      </c>
      <c r="G168" s="14">
        <v>249.99</v>
      </c>
      <c r="H168" s="7" t="s">
        <v>1095</v>
      </c>
      <c r="I168" s="7" t="s">
        <v>956</v>
      </c>
      <c r="J168" s="7" t="s">
        <v>1107</v>
      </c>
      <c r="K168" s="7" t="str">
        <f>HYPERLINK("http://slimages.macys.com/is/image/MCY/10467379 ")</f>
        <v xml:space="preserve">http://slimages.macys.com/is/image/MCY/10467379 </v>
      </c>
    </row>
    <row r="169" spans="1:11" ht="20.100000000000001" customHeight="1" x14ac:dyDescent="0.25">
      <c r="A169" s="12" t="s">
        <v>1296</v>
      </c>
      <c r="B169" s="13">
        <v>13770172</v>
      </c>
      <c r="C169" s="8">
        <v>689439136704</v>
      </c>
      <c r="D169" s="6" t="s">
        <v>126</v>
      </c>
      <c r="E169" s="18">
        <v>1</v>
      </c>
      <c r="F169" s="14">
        <v>299.99</v>
      </c>
      <c r="G169" s="14">
        <v>299.99</v>
      </c>
      <c r="H169" s="7" t="s">
        <v>1095</v>
      </c>
      <c r="I169" s="7" t="s">
        <v>956</v>
      </c>
      <c r="J169" s="7" t="s">
        <v>1107</v>
      </c>
      <c r="K169" s="7" t="str">
        <f>HYPERLINK("http://slimages.macys.com/is/image/MCY/10467379 ")</f>
        <v xml:space="preserve">http://slimages.macys.com/is/image/MCY/10467379 </v>
      </c>
    </row>
    <row r="170" spans="1:11" ht="20.100000000000001" customHeight="1" x14ac:dyDescent="0.25">
      <c r="A170" s="12" t="s">
        <v>1296</v>
      </c>
      <c r="B170" s="13">
        <v>13770172</v>
      </c>
      <c r="C170" s="8">
        <v>693614011441</v>
      </c>
      <c r="D170" s="6" t="s">
        <v>1190</v>
      </c>
      <c r="E170" s="18">
        <v>1</v>
      </c>
      <c r="F170" s="14">
        <v>38.99</v>
      </c>
      <c r="G170" s="14">
        <v>38.99</v>
      </c>
      <c r="H170" s="7" t="s">
        <v>941</v>
      </c>
      <c r="I170" s="7" t="s">
        <v>942</v>
      </c>
      <c r="J170" s="7" t="s">
        <v>943</v>
      </c>
      <c r="K170" s="7" t="str">
        <f>HYPERLINK("http://slimages.macys.com/is/image/MCY/11798699 ")</f>
        <v xml:space="preserve">http://slimages.macys.com/is/image/MCY/11798699 </v>
      </c>
    </row>
    <row r="171" spans="1:11" ht="20.100000000000001" customHeight="1" x14ac:dyDescent="0.25">
      <c r="A171" s="12" t="s">
        <v>1296</v>
      </c>
      <c r="B171" s="13">
        <v>13770172</v>
      </c>
      <c r="C171" s="8">
        <v>693614011441</v>
      </c>
      <c r="D171" s="6" t="s">
        <v>1190</v>
      </c>
      <c r="E171" s="18">
        <v>1</v>
      </c>
      <c r="F171" s="14">
        <v>38.99</v>
      </c>
      <c r="G171" s="14">
        <v>38.99</v>
      </c>
      <c r="H171" s="7" t="s">
        <v>941</v>
      </c>
      <c r="I171" s="7" t="s">
        <v>942</v>
      </c>
      <c r="J171" s="7" t="s">
        <v>943</v>
      </c>
      <c r="K171" s="7" t="str">
        <f>HYPERLINK("http://slimages.macys.com/is/image/MCY/11798699 ")</f>
        <v xml:space="preserve">http://slimages.macys.com/is/image/MCY/11798699 </v>
      </c>
    </row>
    <row r="172" spans="1:11" ht="20.100000000000001" customHeight="1" x14ac:dyDescent="0.25">
      <c r="A172" s="12" t="s">
        <v>1296</v>
      </c>
      <c r="B172" s="13">
        <v>13770172</v>
      </c>
      <c r="C172" s="8">
        <v>706254462785</v>
      </c>
      <c r="D172" s="6" t="s">
        <v>127</v>
      </c>
      <c r="E172" s="18">
        <v>2</v>
      </c>
      <c r="F172" s="14">
        <v>16.989999999999998</v>
      </c>
      <c r="G172" s="14">
        <v>33.979999999999997</v>
      </c>
      <c r="H172" s="7" t="s">
        <v>1025</v>
      </c>
      <c r="I172" s="7" t="s">
        <v>971</v>
      </c>
      <c r="J172" s="7" t="s">
        <v>972</v>
      </c>
      <c r="K172" s="7" t="str">
        <f>HYPERLINK("http://slimages.macys.com/is/image/MCY/12737864 ")</f>
        <v xml:space="preserve">http://slimages.macys.com/is/image/MCY/12737864 </v>
      </c>
    </row>
    <row r="173" spans="1:11" ht="20.100000000000001" customHeight="1" x14ac:dyDescent="0.25">
      <c r="A173" s="12" t="s">
        <v>1296</v>
      </c>
      <c r="B173" s="13">
        <v>13770172</v>
      </c>
      <c r="C173" s="8">
        <v>706254463799</v>
      </c>
      <c r="D173" s="6" t="s">
        <v>128</v>
      </c>
      <c r="E173" s="18">
        <v>1</v>
      </c>
      <c r="F173" s="14">
        <v>33.99</v>
      </c>
      <c r="G173" s="14">
        <v>33.99</v>
      </c>
      <c r="H173" s="7" t="s">
        <v>1056</v>
      </c>
      <c r="I173" s="7" t="s">
        <v>971</v>
      </c>
      <c r="J173" s="7" t="s">
        <v>972</v>
      </c>
      <c r="K173" s="7" t="str">
        <f>HYPERLINK("http://slimages.macys.com/is/image/MCY/12737864 ")</f>
        <v xml:space="preserve">http://slimages.macys.com/is/image/MCY/12737864 </v>
      </c>
    </row>
    <row r="174" spans="1:11" ht="20.100000000000001" customHeight="1" x14ac:dyDescent="0.25">
      <c r="A174" s="12" t="s">
        <v>1296</v>
      </c>
      <c r="B174" s="13">
        <v>13770172</v>
      </c>
      <c r="C174" s="8">
        <v>706254580243</v>
      </c>
      <c r="D174" s="6" t="s">
        <v>129</v>
      </c>
      <c r="E174" s="18">
        <v>1</v>
      </c>
      <c r="F174" s="14">
        <v>7.99</v>
      </c>
      <c r="G174" s="14">
        <v>7.99</v>
      </c>
      <c r="H174" s="7"/>
      <c r="I174" s="7" t="s">
        <v>971</v>
      </c>
      <c r="J174" s="7" t="s">
        <v>972</v>
      </c>
      <c r="K174" s="7" t="str">
        <f>HYPERLINK("http://slimages.macys.com/is/image/MCY/12737732 ")</f>
        <v xml:space="preserve">http://slimages.macys.com/is/image/MCY/12737732 </v>
      </c>
    </row>
    <row r="175" spans="1:11" ht="20.100000000000001" customHeight="1" x14ac:dyDescent="0.25">
      <c r="A175" s="12" t="s">
        <v>1296</v>
      </c>
      <c r="B175" s="13">
        <v>13770172</v>
      </c>
      <c r="C175" s="8">
        <v>706254616522</v>
      </c>
      <c r="D175" s="6" t="s">
        <v>1250</v>
      </c>
      <c r="E175" s="18">
        <v>2</v>
      </c>
      <c r="F175" s="14">
        <v>17.989999999999998</v>
      </c>
      <c r="G175" s="14">
        <v>35.979999999999997</v>
      </c>
      <c r="H175" s="7" t="s">
        <v>944</v>
      </c>
      <c r="I175" s="7" t="s">
        <v>971</v>
      </c>
      <c r="J175" s="7" t="s">
        <v>972</v>
      </c>
      <c r="K175" s="7" t="str">
        <f>HYPERLINK("http://slimages.macys.com/is/image/MCY/3964365 ")</f>
        <v xml:space="preserve">http://slimages.macys.com/is/image/MCY/3964365 </v>
      </c>
    </row>
    <row r="176" spans="1:11" ht="20.100000000000001" customHeight="1" x14ac:dyDescent="0.25">
      <c r="A176" s="12" t="s">
        <v>1296</v>
      </c>
      <c r="B176" s="13">
        <v>13770172</v>
      </c>
      <c r="C176" s="8">
        <v>706254616539</v>
      </c>
      <c r="D176" s="6" t="s">
        <v>130</v>
      </c>
      <c r="E176" s="18">
        <v>1</v>
      </c>
      <c r="F176" s="14">
        <v>17.989999999999998</v>
      </c>
      <c r="G176" s="14">
        <v>17.989999999999998</v>
      </c>
      <c r="H176" s="7" t="s">
        <v>1056</v>
      </c>
      <c r="I176" s="7" t="s">
        <v>971</v>
      </c>
      <c r="J176" s="7" t="s">
        <v>972</v>
      </c>
      <c r="K176" s="7" t="str">
        <f>HYPERLINK("http://slimages.macys.com/is/image/MCY/3964365 ")</f>
        <v xml:space="preserve">http://slimages.macys.com/is/image/MCY/3964365 </v>
      </c>
    </row>
    <row r="177" spans="1:11" ht="20.100000000000001" customHeight="1" x14ac:dyDescent="0.25">
      <c r="A177" s="12" t="s">
        <v>1296</v>
      </c>
      <c r="B177" s="13">
        <v>13770172</v>
      </c>
      <c r="C177" s="8">
        <v>706254616591</v>
      </c>
      <c r="D177" s="6" t="s">
        <v>1420</v>
      </c>
      <c r="E177" s="18">
        <v>4</v>
      </c>
      <c r="F177" s="14">
        <v>13.99</v>
      </c>
      <c r="G177" s="14">
        <v>55.96</v>
      </c>
      <c r="H177" s="7" t="s">
        <v>950</v>
      </c>
      <c r="I177" s="7" t="s">
        <v>971</v>
      </c>
      <c r="J177" s="7" t="s">
        <v>972</v>
      </c>
      <c r="K177" s="7" t="str">
        <f>HYPERLINK("http://slimages.macys.com/is/image/MCY/3272675 ")</f>
        <v xml:space="preserve">http://slimages.macys.com/is/image/MCY/3272675 </v>
      </c>
    </row>
    <row r="178" spans="1:11" ht="20.100000000000001" customHeight="1" x14ac:dyDescent="0.25">
      <c r="A178" s="12" t="s">
        <v>1296</v>
      </c>
      <c r="B178" s="13">
        <v>13770172</v>
      </c>
      <c r="C178" s="8">
        <v>706255871654</v>
      </c>
      <c r="D178" s="6" t="s">
        <v>990</v>
      </c>
      <c r="E178" s="18">
        <v>1</v>
      </c>
      <c r="F178" s="14">
        <v>7.99</v>
      </c>
      <c r="G178" s="14">
        <v>7.99</v>
      </c>
      <c r="H178" s="7" t="s">
        <v>991</v>
      </c>
      <c r="I178" s="7" t="s">
        <v>971</v>
      </c>
      <c r="J178" s="7" t="s">
        <v>989</v>
      </c>
      <c r="K178" s="7" t="str">
        <f>HYPERLINK("http://slimages.macys.com/is/image/MCY/12723264 ")</f>
        <v xml:space="preserve">http://slimages.macys.com/is/image/MCY/12723264 </v>
      </c>
    </row>
    <row r="179" spans="1:11" ht="20.100000000000001" customHeight="1" x14ac:dyDescent="0.25">
      <c r="A179" s="12" t="s">
        <v>1296</v>
      </c>
      <c r="B179" s="13">
        <v>13770172</v>
      </c>
      <c r="C179" s="8">
        <v>706255871920</v>
      </c>
      <c r="D179" s="6" t="s">
        <v>1238</v>
      </c>
      <c r="E179" s="18">
        <v>1</v>
      </c>
      <c r="F179" s="14">
        <v>4.99</v>
      </c>
      <c r="G179" s="14">
        <v>4.99</v>
      </c>
      <c r="H179" s="7" t="s">
        <v>952</v>
      </c>
      <c r="I179" s="7" t="s">
        <v>971</v>
      </c>
      <c r="J179" s="7" t="s">
        <v>989</v>
      </c>
      <c r="K179" s="7" t="str">
        <f>HYPERLINK("http://slimages.macys.com/is/image/MCY/12723277 ")</f>
        <v xml:space="preserve">http://slimages.macys.com/is/image/MCY/12723277 </v>
      </c>
    </row>
    <row r="180" spans="1:11" ht="20.100000000000001" customHeight="1" x14ac:dyDescent="0.25">
      <c r="A180" s="12" t="s">
        <v>1296</v>
      </c>
      <c r="B180" s="13">
        <v>13770172</v>
      </c>
      <c r="C180" s="8">
        <v>706257253700</v>
      </c>
      <c r="D180" s="6" t="s">
        <v>1027</v>
      </c>
      <c r="E180" s="18">
        <v>1</v>
      </c>
      <c r="F180" s="14">
        <v>229.99</v>
      </c>
      <c r="G180" s="14">
        <v>229.99</v>
      </c>
      <c r="H180" s="7" t="s">
        <v>941</v>
      </c>
      <c r="I180" s="7" t="s">
        <v>956</v>
      </c>
      <c r="J180" s="7" t="s">
        <v>1028</v>
      </c>
      <c r="K180" s="7" t="str">
        <f>HYPERLINK("http://slimages.macys.com/is/image/MCY/11953123 ")</f>
        <v xml:space="preserve">http://slimages.macys.com/is/image/MCY/11953123 </v>
      </c>
    </row>
    <row r="181" spans="1:11" ht="20.100000000000001" customHeight="1" x14ac:dyDescent="0.25">
      <c r="A181" s="12" t="s">
        <v>1296</v>
      </c>
      <c r="B181" s="13">
        <v>13770172</v>
      </c>
      <c r="C181" s="8">
        <v>706257399811</v>
      </c>
      <c r="D181" s="6" t="s">
        <v>1377</v>
      </c>
      <c r="E181" s="18">
        <v>1</v>
      </c>
      <c r="F181" s="14">
        <v>139.99</v>
      </c>
      <c r="G181" s="14">
        <v>139.99</v>
      </c>
      <c r="H181" s="7" t="s">
        <v>981</v>
      </c>
      <c r="I181" s="7" t="s">
        <v>956</v>
      </c>
      <c r="J181" s="7" t="s">
        <v>1028</v>
      </c>
      <c r="K181" s="7" t="str">
        <f>HYPERLINK("http://slimages.macys.com/is/image/MCY/8182285 ")</f>
        <v xml:space="preserve">http://slimages.macys.com/is/image/MCY/8182285 </v>
      </c>
    </row>
    <row r="182" spans="1:11" ht="20.100000000000001" customHeight="1" x14ac:dyDescent="0.25">
      <c r="A182" s="12" t="s">
        <v>1296</v>
      </c>
      <c r="B182" s="13">
        <v>13770172</v>
      </c>
      <c r="C182" s="8">
        <v>706257399927</v>
      </c>
      <c r="D182" s="6" t="s">
        <v>1182</v>
      </c>
      <c r="E182" s="18">
        <v>1</v>
      </c>
      <c r="F182" s="14">
        <v>99.99</v>
      </c>
      <c r="G182" s="14">
        <v>99.99</v>
      </c>
      <c r="H182" s="7" t="s">
        <v>941</v>
      </c>
      <c r="I182" s="7" t="s">
        <v>956</v>
      </c>
      <c r="J182" s="7" t="s">
        <v>1028</v>
      </c>
      <c r="K182" s="7" t="str">
        <f>HYPERLINK("http://slimages.macys.com/is/image/MCY/8182285 ")</f>
        <v xml:space="preserve">http://slimages.macys.com/is/image/MCY/8182285 </v>
      </c>
    </row>
    <row r="183" spans="1:11" ht="20.100000000000001" customHeight="1" x14ac:dyDescent="0.25">
      <c r="A183" s="12" t="s">
        <v>1296</v>
      </c>
      <c r="B183" s="13">
        <v>13770172</v>
      </c>
      <c r="C183" s="8">
        <v>706257404324</v>
      </c>
      <c r="D183" s="6" t="s">
        <v>1182</v>
      </c>
      <c r="E183" s="18">
        <v>1</v>
      </c>
      <c r="F183" s="14">
        <v>99.99</v>
      </c>
      <c r="G183" s="14">
        <v>99.99</v>
      </c>
      <c r="H183" s="7" t="s">
        <v>941</v>
      </c>
      <c r="I183" s="7" t="s">
        <v>956</v>
      </c>
      <c r="J183" s="7" t="s">
        <v>1028</v>
      </c>
      <c r="K183" s="7" t="str">
        <f>HYPERLINK("http://slimages.macys.com/is/image/MCY/8182285 ")</f>
        <v xml:space="preserve">http://slimages.macys.com/is/image/MCY/8182285 </v>
      </c>
    </row>
    <row r="184" spans="1:11" ht="20.100000000000001" customHeight="1" x14ac:dyDescent="0.25">
      <c r="A184" s="12" t="s">
        <v>1296</v>
      </c>
      <c r="B184" s="13">
        <v>13770172</v>
      </c>
      <c r="C184" s="8">
        <v>706257404393</v>
      </c>
      <c r="D184" s="6" t="s">
        <v>1174</v>
      </c>
      <c r="E184" s="18">
        <v>1</v>
      </c>
      <c r="F184" s="14">
        <v>124.99</v>
      </c>
      <c r="G184" s="14">
        <v>124.99</v>
      </c>
      <c r="H184" s="7" t="s">
        <v>941</v>
      </c>
      <c r="I184" s="7" t="s">
        <v>956</v>
      </c>
      <c r="J184" s="7" t="s">
        <v>1028</v>
      </c>
      <c r="K184" s="7" t="str">
        <f>HYPERLINK("http://slimages.macys.com/is/image/MCY/8182285 ")</f>
        <v xml:space="preserve">http://slimages.macys.com/is/image/MCY/8182285 </v>
      </c>
    </row>
    <row r="185" spans="1:11" ht="20.100000000000001" customHeight="1" x14ac:dyDescent="0.25">
      <c r="A185" s="12" t="s">
        <v>1296</v>
      </c>
      <c r="B185" s="13">
        <v>13770172</v>
      </c>
      <c r="C185" s="8">
        <v>706257404935</v>
      </c>
      <c r="D185" s="6" t="s">
        <v>131</v>
      </c>
      <c r="E185" s="18">
        <v>2</v>
      </c>
      <c r="F185" s="14">
        <v>64.989999999999995</v>
      </c>
      <c r="G185" s="14">
        <v>129.97999999999999</v>
      </c>
      <c r="H185" s="7" t="s">
        <v>976</v>
      </c>
      <c r="I185" s="7" t="s">
        <v>956</v>
      </c>
      <c r="J185" s="7" t="s">
        <v>1028</v>
      </c>
      <c r="K185" s="7" t="str">
        <f>HYPERLINK("http://slimages.macys.com/is/image/MCY/8182285 ")</f>
        <v xml:space="preserve">http://slimages.macys.com/is/image/MCY/8182285 </v>
      </c>
    </row>
    <row r="186" spans="1:11" ht="20.100000000000001" customHeight="1" x14ac:dyDescent="0.25">
      <c r="A186" s="12" t="s">
        <v>1296</v>
      </c>
      <c r="B186" s="13">
        <v>13770172</v>
      </c>
      <c r="C186" s="8">
        <v>706257490396</v>
      </c>
      <c r="D186" s="6" t="s">
        <v>132</v>
      </c>
      <c r="E186" s="18">
        <v>1</v>
      </c>
      <c r="F186" s="14">
        <v>9.99</v>
      </c>
      <c r="G186" s="14">
        <v>9.99</v>
      </c>
      <c r="H186" s="7" t="s">
        <v>1026</v>
      </c>
      <c r="I186" s="7" t="s">
        <v>971</v>
      </c>
      <c r="J186" s="7" t="s">
        <v>989</v>
      </c>
      <c r="K186" s="7" t="str">
        <f>HYPERLINK("http://slimages.macys.com/is/image/MCY/12723168 ")</f>
        <v xml:space="preserve">http://slimages.macys.com/is/image/MCY/12723168 </v>
      </c>
    </row>
    <row r="187" spans="1:11" ht="20.100000000000001" customHeight="1" x14ac:dyDescent="0.25">
      <c r="A187" s="12" t="s">
        <v>1296</v>
      </c>
      <c r="B187" s="13">
        <v>13770172</v>
      </c>
      <c r="C187" s="8">
        <v>706257998137</v>
      </c>
      <c r="D187" s="6" t="s">
        <v>1586</v>
      </c>
      <c r="E187" s="18">
        <v>1</v>
      </c>
      <c r="F187" s="14">
        <v>199.99</v>
      </c>
      <c r="G187" s="14">
        <v>199.99</v>
      </c>
      <c r="H187" s="7" t="s">
        <v>1036</v>
      </c>
      <c r="I187" s="7" t="s">
        <v>956</v>
      </c>
      <c r="J187" s="7" t="s">
        <v>1014</v>
      </c>
      <c r="K187" s="7" t="str">
        <f>HYPERLINK("http://slimages.macys.com/is/image/MCY/13891271 ")</f>
        <v xml:space="preserve">http://slimages.macys.com/is/image/MCY/13891271 </v>
      </c>
    </row>
    <row r="188" spans="1:11" ht="20.100000000000001" customHeight="1" x14ac:dyDescent="0.25">
      <c r="A188" s="12" t="s">
        <v>1296</v>
      </c>
      <c r="B188" s="13">
        <v>13770172</v>
      </c>
      <c r="C188" s="8">
        <v>706257998137</v>
      </c>
      <c r="D188" s="6" t="s">
        <v>1586</v>
      </c>
      <c r="E188" s="18">
        <v>2</v>
      </c>
      <c r="F188" s="14">
        <v>199.99</v>
      </c>
      <c r="G188" s="14">
        <v>399.98</v>
      </c>
      <c r="H188" s="7" t="s">
        <v>1036</v>
      </c>
      <c r="I188" s="7" t="s">
        <v>956</v>
      </c>
      <c r="J188" s="7" t="s">
        <v>1014</v>
      </c>
      <c r="K188" s="7" t="str">
        <f>HYPERLINK("http://slimages.macys.com/is/image/MCY/13891271 ")</f>
        <v xml:space="preserve">http://slimages.macys.com/is/image/MCY/13891271 </v>
      </c>
    </row>
    <row r="189" spans="1:11" ht="20.100000000000001" customHeight="1" x14ac:dyDescent="0.25">
      <c r="A189" s="12" t="s">
        <v>1296</v>
      </c>
      <c r="B189" s="13">
        <v>13770172</v>
      </c>
      <c r="C189" s="8">
        <v>706257998182</v>
      </c>
      <c r="D189" s="6" t="s">
        <v>734</v>
      </c>
      <c r="E189" s="18">
        <v>1</v>
      </c>
      <c r="F189" s="14">
        <v>89.99</v>
      </c>
      <c r="G189" s="14">
        <v>89.99</v>
      </c>
      <c r="H189" s="7" t="s">
        <v>1036</v>
      </c>
      <c r="I189" s="7" t="s">
        <v>956</v>
      </c>
      <c r="J189" s="7" t="s">
        <v>1014</v>
      </c>
      <c r="K189" s="7" t="str">
        <f>HYPERLINK("http://slimages.macys.com/is/image/MCY/8453088 ")</f>
        <v xml:space="preserve">http://slimages.macys.com/is/image/MCY/8453088 </v>
      </c>
    </row>
    <row r="190" spans="1:11" ht="20.100000000000001" customHeight="1" x14ac:dyDescent="0.25">
      <c r="A190" s="12" t="s">
        <v>1296</v>
      </c>
      <c r="B190" s="13">
        <v>13770172</v>
      </c>
      <c r="C190" s="8">
        <v>706257998199</v>
      </c>
      <c r="D190" s="6" t="s">
        <v>1423</v>
      </c>
      <c r="E190" s="18">
        <v>1</v>
      </c>
      <c r="F190" s="14">
        <v>89.99</v>
      </c>
      <c r="G190" s="14">
        <v>89.99</v>
      </c>
      <c r="H190" s="7" t="s">
        <v>1036</v>
      </c>
      <c r="I190" s="7" t="s">
        <v>956</v>
      </c>
      <c r="J190" s="7" t="s">
        <v>1014</v>
      </c>
      <c r="K190" s="7" t="str">
        <f>HYPERLINK("http://slimages.macys.com/is/image/MCY/8453087 ")</f>
        <v xml:space="preserve">http://slimages.macys.com/is/image/MCY/8453087 </v>
      </c>
    </row>
    <row r="191" spans="1:11" ht="20.100000000000001" customHeight="1" x14ac:dyDescent="0.25">
      <c r="A191" s="12" t="s">
        <v>1296</v>
      </c>
      <c r="B191" s="13">
        <v>13770172</v>
      </c>
      <c r="C191" s="8">
        <v>706257998274</v>
      </c>
      <c r="D191" s="6" t="s">
        <v>133</v>
      </c>
      <c r="E191" s="18">
        <v>1</v>
      </c>
      <c r="F191" s="14">
        <v>249.99</v>
      </c>
      <c r="G191" s="14">
        <v>249.99</v>
      </c>
      <c r="H191" s="7" t="s">
        <v>1036</v>
      </c>
      <c r="I191" s="7" t="s">
        <v>956</v>
      </c>
      <c r="J191" s="7" t="s">
        <v>1014</v>
      </c>
      <c r="K191" s="7" t="str">
        <f>HYPERLINK("http://slimages.macys.com/is/image/MCY/8453058 ")</f>
        <v xml:space="preserve">http://slimages.macys.com/is/image/MCY/8453058 </v>
      </c>
    </row>
    <row r="192" spans="1:11" ht="20.100000000000001" customHeight="1" x14ac:dyDescent="0.25">
      <c r="A192" s="12" t="s">
        <v>1296</v>
      </c>
      <c r="B192" s="13">
        <v>13770172</v>
      </c>
      <c r="C192" s="8">
        <v>706258049524</v>
      </c>
      <c r="D192" s="6" t="s">
        <v>134</v>
      </c>
      <c r="E192" s="18">
        <v>2</v>
      </c>
      <c r="F192" s="14">
        <v>69.989999999999995</v>
      </c>
      <c r="G192" s="14">
        <v>139.97999999999999</v>
      </c>
      <c r="H192" s="7" t="s">
        <v>981</v>
      </c>
      <c r="I192" s="7" t="s">
        <v>969</v>
      </c>
      <c r="J192" s="7" t="s">
        <v>970</v>
      </c>
      <c r="K192" s="7" t="str">
        <f>HYPERLINK("http://slimages.macys.com/is/image/MCY/8433239 ")</f>
        <v xml:space="preserve">http://slimages.macys.com/is/image/MCY/8433239 </v>
      </c>
    </row>
    <row r="193" spans="1:11" ht="20.100000000000001" customHeight="1" x14ac:dyDescent="0.25">
      <c r="A193" s="12" t="s">
        <v>1296</v>
      </c>
      <c r="B193" s="13">
        <v>13770172</v>
      </c>
      <c r="C193" s="8">
        <v>706258050018</v>
      </c>
      <c r="D193" s="6" t="s">
        <v>135</v>
      </c>
      <c r="E193" s="18">
        <v>1</v>
      </c>
      <c r="F193" s="14">
        <v>39.99</v>
      </c>
      <c r="G193" s="14">
        <v>39.99</v>
      </c>
      <c r="H193" s="7" t="s">
        <v>1013</v>
      </c>
      <c r="I193" s="7" t="s">
        <v>969</v>
      </c>
      <c r="J193" s="7" t="s">
        <v>970</v>
      </c>
      <c r="K193" s="7" t="str">
        <f>HYPERLINK("http://slimages.macys.com/is/image/MCY/8433239 ")</f>
        <v xml:space="preserve">http://slimages.macys.com/is/image/MCY/8433239 </v>
      </c>
    </row>
    <row r="194" spans="1:11" ht="20.100000000000001" customHeight="1" x14ac:dyDescent="0.25">
      <c r="A194" s="12" t="s">
        <v>1296</v>
      </c>
      <c r="B194" s="13">
        <v>13770172</v>
      </c>
      <c r="C194" s="8">
        <v>706258050018</v>
      </c>
      <c r="D194" s="6" t="s">
        <v>135</v>
      </c>
      <c r="E194" s="18">
        <v>1</v>
      </c>
      <c r="F194" s="14">
        <v>39.99</v>
      </c>
      <c r="G194" s="14">
        <v>39.99</v>
      </c>
      <c r="H194" s="7" t="s">
        <v>1013</v>
      </c>
      <c r="I194" s="7" t="s">
        <v>969</v>
      </c>
      <c r="J194" s="7" t="s">
        <v>970</v>
      </c>
      <c r="K194" s="7" t="str">
        <f>HYPERLINK("http://slimages.macys.com/is/image/MCY/8433239 ")</f>
        <v xml:space="preserve">http://slimages.macys.com/is/image/MCY/8433239 </v>
      </c>
    </row>
    <row r="195" spans="1:11" ht="20.100000000000001" customHeight="1" x14ac:dyDescent="0.25">
      <c r="A195" s="12" t="s">
        <v>1296</v>
      </c>
      <c r="B195" s="13">
        <v>13770172</v>
      </c>
      <c r="C195" s="8">
        <v>706258050773</v>
      </c>
      <c r="D195" s="6" t="s">
        <v>1171</v>
      </c>
      <c r="E195" s="18">
        <v>1</v>
      </c>
      <c r="F195" s="14">
        <v>99.99</v>
      </c>
      <c r="G195" s="14">
        <v>99.99</v>
      </c>
      <c r="H195" s="7" t="s">
        <v>941</v>
      </c>
      <c r="I195" s="7" t="s">
        <v>969</v>
      </c>
      <c r="J195" s="7" t="s">
        <v>970</v>
      </c>
      <c r="K195" s="7" t="str">
        <f>HYPERLINK("http://slimages.macys.com/is/image/MCY/11607139 ")</f>
        <v xml:space="preserve">http://slimages.macys.com/is/image/MCY/11607139 </v>
      </c>
    </row>
    <row r="196" spans="1:11" ht="20.100000000000001" customHeight="1" x14ac:dyDescent="0.25">
      <c r="A196" s="12" t="s">
        <v>1296</v>
      </c>
      <c r="B196" s="13">
        <v>13770172</v>
      </c>
      <c r="C196" s="8">
        <v>706258050810</v>
      </c>
      <c r="D196" s="6" t="s">
        <v>1009</v>
      </c>
      <c r="E196" s="18">
        <v>1</v>
      </c>
      <c r="F196" s="14">
        <v>99.99</v>
      </c>
      <c r="G196" s="14">
        <v>99.99</v>
      </c>
      <c r="H196" s="7" t="s">
        <v>968</v>
      </c>
      <c r="I196" s="7" t="s">
        <v>969</v>
      </c>
      <c r="J196" s="7" t="s">
        <v>970</v>
      </c>
      <c r="K196" s="7" t="str">
        <f>HYPERLINK("http://slimages.macys.com/is/image/MCY/11607139 ")</f>
        <v xml:space="preserve">http://slimages.macys.com/is/image/MCY/11607139 </v>
      </c>
    </row>
    <row r="197" spans="1:11" ht="20.100000000000001" customHeight="1" x14ac:dyDescent="0.25">
      <c r="A197" s="12" t="s">
        <v>1296</v>
      </c>
      <c r="B197" s="13">
        <v>13770172</v>
      </c>
      <c r="C197" s="8">
        <v>706258050827</v>
      </c>
      <c r="D197" s="6" t="s">
        <v>136</v>
      </c>
      <c r="E197" s="18">
        <v>1</v>
      </c>
      <c r="F197" s="14">
        <v>99.99</v>
      </c>
      <c r="G197" s="14">
        <v>99.99</v>
      </c>
      <c r="H197" s="7" t="s">
        <v>976</v>
      </c>
      <c r="I197" s="7" t="s">
        <v>969</v>
      </c>
      <c r="J197" s="7" t="s">
        <v>970</v>
      </c>
      <c r="K197" s="7" t="str">
        <f>HYPERLINK("http://slimages.macys.com/is/image/MCY/11607139 ")</f>
        <v xml:space="preserve">http://slimages.macys.com/is/image/MCY/11607139 </v>
      </c>
    </row>
    <row r="198" spans="1:11" ht="20.100000000000001" customHeight="1" x14ac:dyDescent="0.25">
      <c r="A198" s="12" t="s">
        <v>1296</v>
      </c>
      <c r="B198" s="13">
        <v>13770172</v>
      </c>
      <c r="C198" s="8">
        <v>706258051169</v>
      </c>
      <c r="D198" s="6" t="s">
        <v>137</v>
      </c>
      <c r="E198" s="18">
        <v>1</v>
      </c>
      <c r="F198" s="14">
        <v>39.99</v>
      </c>
      <c r="G198" s="14">
        <v>39.99</v>
      </c>
      <c r="H198" s="7" t="s">
        <v>968</v>
      </c>
      <c r="I198" s="7" t="s">
        <v>969</v>
      </c>
      <c r="J198" s="7" t="s">
        <v>970</v>
      </c>
      <c r="K198" s="7" t="str">
        <f>HYPERLINK("http://slimages.macys.com/is/image/MCY/11607139 ")</f>
        <v xml:space="preserve">http://slimages.macys.com/is/image/MCY/11607139 </v>
      </c>
    </row>
    <row r="199" spans="1:11" ht="20.100000000000001" customHeight="1" x14ac:dyDescent="0.25">
      <c r="A199" s="12" t="s">
        <v>1296</v>
      </c>
      <c r="B199" s="13">
        <v>13770172</v>
      </c>
      <c r="C199" s="8">
        <v>706258051411</v>
      </c>
      <c r="D199" s="6" t="s">
        <v>1378</v>
      </c>
      <c r="E199" s="18">
        <v>1</v>
      </c>
      <c r="F199" s="14">
        <v>109.99</v>
      </c>
      <c r="G199" s="14">
        <v>109.99</v>
      </c>
      <c r="H199" s="7" t="s">
        <v>941</v>
      </c>
      <c r="I199" s="7" t="s">
        <v>969</v>
      </c>
      <c r="J199" s="7" t="s">
        <v>970</v>
      </c>
      <c r="K199" s="7" t="str">
        <f>HYPERLINK("http://slimages.macys.com/is/image/MCY/11534834 ")</f>
        <v xml:space="preserve">http://slimages.macys.com/is/image/MCY/11534834 </v>
      </c>
    </row>
    <row r="200" spans="1:11" ht="20.100000000000001" customHeight="1" x14ac:dyDescent="0.25">
      <c r="A200" s="12" t="s">
        <v>1296</v>
      </c>
      <c r="B200" s="13">
        <v>13770172</v>
      </c>
      <c r="C200" s="8">
        <v>706258051411</v>
      </c>
      <c r="D200" s="6" t="s">
        <v>1378</v>
      </c>
      <c r="E200" s="18">
        <v>1</v>
      </c>
      <c r="F200" s="14">
        <v>109.99</v>
      </c>
      <c r="G200" s="14">
        <v>109.99</v>
      </c>
      <c r="H200" s="7" t="s">
        <v>941</v>
      </c>
      <c r="I200" s="7" t="s">
        <v>969</v>
      </c>
      <c r="J200" s="7" t="s">
        <v>970</v>
      </c>
      <c r="K200" s="7" t="str">
        <f>HYPERLINK("http://slimages.macys.com/is/image/MCY/11534834 ")</f>
        <v xml:space="preserve">http://slimages.macys.com/is/image/MCY/11534834 </v>
      </c>
    </row>
    <row r="201" spans="1:11" ht="20.100000000000001" customHeight="1" x14ac:dyDescent="0.25">
      <c r="A201" s="12" t="s">
        <v>1296</v>
      </c>
      <c r="B201" s="13">
        <v>13770172</v>
      </c>
      <c r="C201" s="8">
        <v>706258089261</v>
      </c>
      <c r="D201" s="6" t="s">
        <v>138</v>
      </c>
      <c r="E201" s="18">
        <v>1</v>
      </c>
      <c r="F201" s="14">
        <v>139.99</v>
      </c>
      <c r="G201" s="14">
        <v>139.99</v>
      </c>
      <c r="H201" s="7" t="s">
        <v>941</v>
      </c>
      <c r="I201" s="7" t="s">
        <v>969</v>
      </c>
      <c r="J201" s="7" t="s">
        <v>970</v>
      </c>
      <c r="K201" s="7" t="str">
        <f>HYPERLINK("http://slimages.macys.com/is/image/MCY/8433239 ")</f>
        <v xml:space="preserve">http://slimages.macys.com/is/image/MCY/8433239 </v>
      </c>
    </row>
    <row r="202" spans="1:11" ht="20.100000000000001" customHeight="1" x14ac:dyDescent="0.25">
      <c r="A202" s="12" t="s">
        <v>1296</v>
      </c>
      <c r="B202" s="13">
        <v>13770172</v>
      </c>
      <c r="C202" s="8">
        <v>706258089735</v>
      </c>
      <c r="D202" s="6" t="s">
        <v>1079</v>
      </c>
      <c r="E202" s="18">
        <v>1</v>
      </c>
      <c r="F202" s="14">
        <v>119.99</v>
      </c>
      <c r="G202" s="14">
        <v>119.99</v>
      </c>
      <c r="H202" s="7" t="s">
        <v>1013</v>
      </c>
      <c r="I202" s="7" t="s">
        <v>969</v>
      </c>
      <c r="J202" s="7" t="s">
        <v>970</v>
      </c>
      <c r="K202" s="7" t="str">
        <f>HYPERLINK("http://slimages.macys.com/is/image/MCY/8433239 ")</f>
        <v xml:space="preserve">http://slimages.macys.com/is/image/MCY/8433239 </v>
      </c>
    </row>
    <row r="203" spans="1:11" ht="20.100000000000001" customHeight="1" x14ac:dyDescent="0.25">
      <c r="A203" s="12" t="s">
        <v>1296</v>
      </c>
      <c r="B203" s="13">
        <v>13770172</v>
      </c>
      <c r="C203" s="8">
        <v>706258090205</v>
      </c>
      <c r="D203" s="6" t="s">
        <v>1425</v>
      </c>
      <c r="E203" s="18">
        <v>2</v>
      </c>
      <c r="F203" s="14">
        <v>99.99</v>
      </c>
      <c r="G203" s="14">
        <v>199.98</v>
      </c>
      <c r="H203" s="7" t="s">
        <v>941</v>
      </c>
      <c r="I203" s="7" t="s">
        <v>969</v>
      </c>
      <c r="J203" s="7" t="s">
        <v>970</v>
      </c>
      <c r="K203" s="7" t="str">
        <f>HYPERLINK("http://slimages.macys.com/is/image/MCY/8433239 ")</f>
        <v xml:space="preserve">http://slimages.macys.com/is/image/MCY/8433239 </v>
      </c>
    </row>
    <row r="204" spans="1:11" ht="20.100000000000001" customHeight="1" x14ac:dyDescent="0.25">
      <c r="A204" s="12" t="s">
        <v>1296</v>
      </c>
      <c r="B204" s="13">
        <v>13770172</v>
      </c>
      <c r="C204" s="8">
        <v>706258090786</v>
      </c>
      <c r="D204" s="6" t="s">
        <v>1119</v>
      </c>
      <c r="E204" s="18">
        <v>1</v>
      </c>
      <c r="F204" s="14">
        <v>119.99</v>
      </c>
      <c r="G204" s="14">
        <v>119.99</v>
      </c>
      <c r="H204" s="7" t="s">
        <v>968</v>
      </c>
      <c r="I204" s="7" t="s">
        <v>969</v>
      </c>
      <c r="J204" s="7" t="s">
        <v>970</v>
      </c>
      <c r="K204" s="7" t="str">
        <f>HYPERLINK("http://slimages.macys.com/is/image/MCY/11607139 ")</f>
        <v xml:space="preserve">http://slimages.macys.com/is/image/MCY/11607139 </v>
      </c>
    </row>
    <row r="205" spans="1:11" ht="20.100000000000001" customHeight="1" x14ac:dyDescent="0.25">
      <c r="A205" s="12" t="s">
        <v>1296</v>
      </c>
      <c r="B205" s="13">
        <v>13770172</v>
      </c>
      <c r="C205" s="8">
        <v>706258596646</v>
      </c>
      <c r="D205" s="6" t="s">
        <v>139</v>
      </c>
      <c r="E205" s="18">
        <v>1</v>
      </c>
      <c r="F205" s="14">
        <v>99.99</v>
      </c>
      <c r="G205" s="14">
        <v>99.99</v>
      </c>
      <c r="H205" s="7" t="s">
        <v>1026</v>
      </c>
      <c r="I205" s="7" t="s">
        <v>969</v>
      </c>
      <c r="J205" s="7" t="s">
        <v>1035</v>
      </c>
      <c r="K205" s="7" t="str">
        <f>HYPERLINK("http://slimages.macys.com/is/image/MCY/8813910 ")</f>
        <v xml:space="preserve">http://slimages.macys.com/is/image/MCY/8813910 </v>
      </c>
    </row>
    <row r="206" spans="1:11" ht="20.100000000000001" customHeight="1" x14ac:dyDescent="0.25">
      <c r="A206" s="12" t="s">
        <v>1296</v>
      </c>
      <c r="B206" s="13">
        <v>13770172</v>
      </c>
      <c r="C206" s="8">
        <v>706258596738</v>
      </c>
      <c r="D206" s="6" t="s">
        <v>140</v>
      </c>
      <c r="E206" s="18">
        <v>1</v>
      </c>
      <c r="F206" s="14">
        <v>39.99</v>
      </c>
      <c r="G206" s="14">
        <v>39.99</v>
      </c>
      <c r="H206" s="7" t="s">
        <v>941</v>
      </c>
      <c r="I206" s="7" t="s">
        <v>969</v>
      </c>
      <c r="J206" s="7" t="s">
        <v>1035</v>
      </c>
      <c r="K206" s="7" t="str">
        <f>HYPERLINK("http://slimages.macys.com/is/image/MCY/8813976 ")</f>
        <v xml:space="preserve">http://slimages.macys.com/is/image/MCY/8813976 </v>
      </c>
    </row>
    <row r="207" spans="1:11" ht="20.100000000000001" customHeight="1" x14ac:dyDescent="0.25">
      <c r="A207" s="12" t="s">
        <v>1296</v>
      </c>
      <c r="B207" s="13">
        <v>13770172</v>
      </c>
      <c r="C207" s="8">
        <v>706258615880</v>
      </c>
      <c r="D207" s="6" t="s">
        <v>1313</v>
      </c>
      <c r="E207" s="18">
        <v>1</v>
      </c>
      <c r="F207" s="14">
        <v>41.99</v>
      </c>
      <c r="G207" s="14">
        <v>41.99</v>
      </c>
      <c r="H207" s="7" t="s">
        <v>994</v>
      </c>
      <c r="I207" s="7" t="s">
        <v>1058</v>
      </c>
      <c r="J207" s="7" t="s">
        <v>1197</v>
      </c>
      <c r="K207" s="7" t="str">
        <f>HYPERLINK("http://slimages.macys.com/is/image/MCY/9406085 ")</f>
        <v xml:space="preserve">http://slimages.macys.com/is/image/MCY/9406085 </v>
      </c>
    </row>
    <row r="208" spans="1:11" ht="20.100000000000001" customHeight="1" x14ac:dyDescent="0.25">
      <c r="A208" s="12" t="s">
        <v>1296</v>
      </c>
      <c r="B208" s="13">
        <v>13770172</v>
      </c>
      <c r="C208" s="8">
        <v>706258615880</v>
      </c>
      <c r="D208" s="6" t="s">
        <v>1313</v>
      </c>
      <c r="E208" s="18">
        <v>6</v>
      </c>
      <c r="F208" s="14">
        <v>41.99</v>
      </c>
      <c r="G208" s="14">
        <v>251.94</v>
      </c>
      <c r="H208" s="7" t="s">
        <v>994</v>
      </c>
      <c r="I208" s="7" t="s">
        <v>1058</v>
      </c>
      <c r="J208" s="7" t="s">
        <v>1197</v>
      </c>
      <c r="K208" s="7" t="str">
        <f>HYPERLINK("http://slimages.macys.com/is/image/MCY/9406085 ")</f>
        <v xml:space="preserve">http://slimages.macys.com/is/image/MCY/9406085 </v>
      </c>
    </row>
    <row r="209" spans="1:11" ht="20.100000000000001" customHeight="1" x14ac:dyDescent="0.25">
      <c r="A209" s="12" t="s">
        <v>1296</v>
      </c>
      <c r="B209" s="13">
        <v>13770172</v>
      </c>
      <c r="C209" s="8">
        <v>706258615880</v>
      </c>
      <c r="D209" s="6" t="s">
        <v>1313</v>
      </c>
      <c r="E209" s="18">
        <v>1</v>
      </c>
      <c r="F209" s="14">
        <v>41.99</v>
      </c>
      <c r="G209" s="14">
        <v>41.99</v>
      </c>
      <c r="H209" s="7" t="s">
        <v>994</v>
      </c>
      <c r="I209" s="7" t="s">
        <v>1058</v>
      </c>
      <c r="J209" s="7" t="s">
        <v>1197</v>
      </c>
      <c r="K209" s="7" t="str">
        <f>HYPERLINK("http://slimages.macys.com/is/image/MCY/9406085 ")</f>
        <v xml:space="preserve">http://slimages.macys.com/is/image/MCY/9406085 </v>
      </c>
    </row>
    <row r="210" spans="1:11" ht="20.100000000000001" customHeight="1" x14ac:dyDescent="0.25">
      <c r="A210" s="12" t="s">
        <v>1296</v>
      </c>
      <c r="B210" s="13">
        <v>13770172</v>
      </c>
      <c r="C210" s="8">
        <v>706258615897</v>
      </c>
      <c r="D210" s="6" t="s">
        <v>1379</v>
      </c>
      <c r="E210" s="18">
        <v>1</v>
      </c>
      <c r="F210" s="14">
        <v>29.99</v>
      </c>
      <c r="G210" s="14">
        <v>29.99</v>
      </c>
      <c r="H210" s="7" t="s">
        <v>994</v>
      </c>
      <c r="I210" s="7" t="s">
        <v>1058</v>
      </c>
      <c r="J210" s="7" t="s">
        <v>1197</v>
      </c>
      <c r="K210" s="7" t="str">
        <f>HYPERLINK("http://slimages.macys.com/is/image/MCY/9406085 ")</f>
        <v xml:space="preserve">http://slimages.macys.com/is/image/MCY/9406085 </v>
      </c>
    </row>
    <row r="211" spans="1:11" ht="20.100000000000001" customHeight="1" x14ac:dyDescent="0.25">
      <c r="A211" s="12" t="s">
        <v>1296</v>
      </c>
      <c r="B211" s="13">
        <v>13770172</v>
      </c>
      <c r="C211" s="8">
        <v>706258616344</v>
      </c>
      <c r="D211" s="6" t="s">
        <v>1227</v>
      </c>
      <c r="E211" s="18">
        <v>1</v>
      </c>
      <c r="F211" s="14">
        <v>9.99</v>
      </c>
      <c r="G211" s="14">
        <v>9.99</v>
      </c>
      <c r="H211" s="7" t="s">
        <v>994</v>
      </c>
      <c r="I211" s="7" t="s">
        <v>1058</v>
      </c>
      <c r="J211" s="7" t="s">
        <v>1197</v>
      </c>
      <c r="K211" s="7" t="str">
        <f>HYPERLINK("http://slimages.macys.com/is/image/MCY/2831820 ")</f>
        <v xml:space="preserve">http://slimages.macys.com/is/image/MCY/2831820 </v>
      </c>
    </row>
    <row r="212" spans="1:11" ht="20.100000000000001" customHeight="1" x14ac:dyDescent="0.25">
      <c r="A212" s="12" t="s">
        <v>1296</v>
      </c>
      <c r="B212" s="13">
        <v>13770172</v>
      </c>
      <c r="C212" s="8">
        <v>706258617624</v>
      </c>
      <c r="D212" s="6" t="s">
        <v>743</v>
      </c>
      <c r="E212" s="18">
        <v>1</v>
      </c>
      <c r="F212" s="14">
        <v>16.989999999999998</v>
      </c>
      <c r="G212" s="14">
        <v>16.989999999999998</v>
      </c>
      <c r="H212" s="7" t="s">
        <v>941</v>
      </c>
      <c r="I212" s="7" t="s">
        <v>1058</v>
      </c>
      <c r="J212" s="7" t="s">
        <v>1197</v>
      </c>
      <c r="K212" s="7" t="str">
        <f>HYPERLINK("http://slimages.macys.com/is/image/MCY/3814766 ")</f>
        <v xml:space="preserve">http://slimages.macys.com/is/image/MCY/3814766 </v>
      </c>
    </row>
    <row r="213" spans="1:11" ht="20.100000000000001" customHeight="1" x14ac:dyDescent="0.25">
      <c r="A213" s="12" t="s">
        <v>1296</v>
      </c>
      <c r="B213" s="13">
        <v>13770172</v>
      </c>
      <c r="C213" s="8">
        <v>709016588297</v>
      </c>
      <c r="D213" s="6" t="s">
        <v>141</v>
      </c>
      <c r="E213" s="18">
        <v>1</v>
      </c>
      <c r="F213" s="14">
        <v>153.99</v>
      </c>
      <c r="G213" s="14">
        <v>153.99</v>
      </c>
      <c r="H213" s="7" t="s">
        <v>1050</v>
      </c>
      <c r="I213" s="7" t="s">
        <v>942</v>
      </c>
      <c r="J213" s="7" t="s">
        <v>142</v>
      </c>
      <c r="K213" s="7" t="str">
        <f>HYPERLINK("http://slimages.macys.com/is/image/MCY/14815837 ")</f>
        <v xml:space="preserve">http://slimages.macys.com/is/image/MCY/14815837 </v>
      </c>
    </row>
    <row r="214" spans="1:11" ht="20.100000000000001" customHeight="1" x14ac:dyDescent="0.25">
      <c r="A214" s="12" t="s">
        <v>1296</v>
      </c>
      <c r="B214" s="13">
        <v>13770172</v>
      </c>
      <c r="C214" s="8">
        <v>726895380163</v>
      </c>
      <c r="D214" s="6" t="s">
        <v>143</v>
      </c>
      <c r="E214" s="18">
        <v>1</v>
      </c>
      <c r="F214" s="14">
        <v>79.989999999999995</v>
      </c>
      <c r="G214" s="14">
        <v>79.989999999999995</v>
      </c>
      <c r="H214" s="7" t="s">
        <v>941</v>
      </c>
      <c r="I214" s="7" t="s">
        <v>956</v>
      </c>
      <c r="J214" s="7" t="s">
        <v>1014</v>
      </c>
      <c r="K214" s="7" t="str">
        <f>HYPERLINK("http://slimages.macys.com/is/image/MCY/9353030 ")</f>
        <v xml:space="preserve">http://slimages.macys.com/is/image/MCY/9353030 </v>
      </c>
    </row>
    <row r="215" spans="1:11" ht="20.100000000000001" customHeight="1" x14ac:dyDescent="0.25">
      <c r="A215" s="12" t="s">
        <v>1296</v>
      </c>
      <c r="B215" s="13">
        <v>13770172</v>
      </c>
      <c r="C215" s="8">
        <v>726895578577</v>
      </c>
      <c r="D215" s="6" t="s">
        <v>144</v>
      </c>
      <c r="E215" s="18">
        <v>1</v>
      </c>
      <c r="F215" s="14">
        <v>19.989999999999998</v>
      </c>
      <c r="G215" s="14">
        <v>19.989999999999998</v>
      </c>
      <c r="H215" s="7" t="s">
        <v>976</v>
      </c>
      <c r="I215" s="7" t="s">
        <v>1046</v>
      </c>
      <c r="J215" s="7" t="s">
        <v>1047</v>
      </c>
      <c r="K215" s="7" t="str">
        <f>HYPERLINK("http://slimages.macys.com/is/image/MCY/9962009 ")</f>
        <v xml:space="preserve">http://slimages.macys.com/is/image/MCY/9962009 </v>
      </c>
    </row>
    <row r="216" spans="1:11" ht="20.100000000000001" customHeight="1" x14ac:dyDescent="0.25">
      <c r="A216" s="12" t="s">
        <v>1296</v>
      </c>
      <c r="B216" s="13">
        <v>13770172</v>
      </c>
      <c r="C216" s="8">
        <v>726895579239</v>
      </c>
      <c r="D216" s="6" t="s">
        <v>145</v>
      </c>
      <c r="E216" s="18">
        <v>1</v>
      </c>
      <c r="F216" s="14">
        <v>29.99</v>
      </c>
      <c r="G216" s="14">
        <v>29.99</v>
      </c>
      <c r="H216" s="7" t="s">
        <v>1026</v>
      </c>
      <c r="I216" s="7" t="s">
        <v>1046</v>
      </c>
      <c r="J216" s="7" t="s">
        <v>1047</v>
      </c>
      <c r="K216" s="7" t="str">
        <f>HYPERLINK("http://slimages.macys.com/is/image/MCY/9356840 ")</f>
        <v xml:space="preserve">http://slimages.macys.com/is/image/MCY/9356840 </v>
      </c>
    </row>
    <row r="217" spans="1:11" ht="20.100000000000001" customHeight="1" x14ac:dyDescent="0.25">
      <c r="A217" s="12" t="s">
        <v>1296</v>
      </c>
      <c r="B217" s="13">
        <v>13770172</v>
      </c>
      <c r="C217" s="8">
        <v>732995191806</v>
      </c>
      <c r="D217" s="6" t="s">
        <v>146</v>
      </c>
      <c r="E217" s="18">
        <v>1</v>
      </c>
      <c r="F217" s="14">
        <v>24.99</v>
      </c>
      <c r="G217" s="14">
        <v>24.99</v>
      </c>
      <c r="H217" s="7" t="s">
        <v>1013</v>
      </c>
      <c r="I217" s="7" t="s">
        <v>969</v>
      </c>
      <c r="J217" s="7" t="s">
        <v>970</v>
      </c>
      <c r="K217" s="7" t="str">
        <f>HYPERLINK("http://slimages.macys.com/is/image/MCY/8435667 ")</f>
        <v xml:space="preserve">http://slimages.macys.com/is/image/MCY/8435667 </v>
      </c>
    </row>
    <row r="218" spans="1:11" ht="20.100000000000001" customHeight="1" x14ac:dyDescent="0.25">
      <c r="A218" s="12" t="s">
        <v>1296</v>
      </c>
      <c r="B218" s="13">
        <v>13770172</v>
      </c>
      <c r="C218" s="8">
        <v>732996252537</v>
      </c>
      <c r="D218" s="6" t="s">
        <v>147</v>
      </c>
      <c r="E218" s="18">
        <v>1</v>
      </c>
      <c r="F218" s="14">
        <v>169.99</v>
      </c>
      <c r="G218" s="14">
        <v>169.99</v>
      </c>
      <c r="H218" s="7" t="s">
        <v>941</v>
      </c>
      <c r="I218" s="7" t="s">
        <v>1058</v>
      </c>
      <c r="J218" s="7" t="s">
        <v>1129</v>
      </c>
      <c r="K218" s="7" t="str">
        <f>HYPERLINK("http://slimages.macys.com/is/image/MCY/13120647 ")</f>
        <v xml:space="preserve">http://slimages.macys.com/is/image/MCY/13120647 </v>
      </c>
    </row>
    <row r="219" spans="1:11" ht="20.100000000000001" customHeight="1" x14ac:dyDescent="0.25">
      <c r="A219" s="12" t="s">
        <v>1296</v>
      </c>
      <c r="B219" s="13">
        <v>13770172</v>
      </c>
      <c r="C219" s="8">
        <v>732996465197</v>
      </c>
      <c r="D219" s="6" t="s">
        <v>1027</v>
      </c>
      <c r="E219" s="18">
        <v>1</v>
      </c>
      <c r="F219" s="14">
        <v>299.99</v>
      </c>
      <c r="G219" s="14">
        <v>299.99</v>
      </c>
      <c r="H219" s="7" t="s">
        <v>941</v>
      </c>
      <c r="I219" s="7" t="s">
        <v>956</v>
      </c>
      <c r="J219" s="7" t="s">
        <v>1028</v>
      </c>
      <c r="K219" s="7" t="str">
        <f>HYPERLINK("http://slimages.macys.com/is/image/MCY/11953123 ")</f>
        <v xml:space="preserve">http://slimages.macys.com/is/image/MCY/11953123 </v>
      </c>
    </row>
    <row r="220" spans="1:11" ht="20.100000000000001" customHeight="1" x14ac:dyDescent="0.25">
      <c r="A220" s="12" t="s">
        <v>1296</v>
      </c>
      <c r="B220" s="13">
        <v>13770172</v>
      </c>
      <c r="C220" s="8">
        <v>732996468839</v>
      </c>
      <c r="D220" s="6" t="s">
        <v>148</v>
      </c>
      <c r="E220" s="18">
        <v>1</v>
      </c>
      <c r="F220" s="14">
        <v>89.99</v>
      </c>
      <c r="G220" s="14">
        <v>89.99</v>
      </c>
      <c r="H220" s="7" t="s">
        <v>941</v>
      </c>
      <c r="I220" s="7" t="s">
        <v>956</v>
      </c>
      <c r="J220" s="7" t="s">
        <v>1100</v>
      </c>
      <c r="K220" s="7" t="str">
        <f>HYPERLINK("http://slimages.macys.com/is/image/MCY/12898924 ")</f>
        <v xml:space="preserve">http://slimages.macys.com/is/image/MCY/12898924 </v>
      </c>
    </row>
    <row r="221" spans="1:11" ht="20.100000000000001" customHeight="1" x14ac:dyDescent="0.25">
      <c r="A221" s="12" t="s">
        <v>1296</v>
      </c>
      <c r="B221" s="13">
        <v>13770172</v>
      </c>
      <c r="C221" s="8">
        <v>732996468969</v>
      </c>
      <c r="D221" s="6" t="s">
        <v>149</v>
      </c>
      <c r="E221" s="18">
        <v>1</v>
      </c>
      <c r="F221" s="14">
        <v>269.99</v>
      </c>
      <c r="G221" s="14">
        <v>269.99</v>
      </c>
      <c r="H221" s="7" t="s">
        <v>1026</v>
      </c>
      <c r="I221" s="7" t="s">
        <v>956</v>
      </c>
      <c r="J221" s="7" t="s">
        <v>1028</v>
      </c>
      <c r="K221" s="7" t="str">
        <f>HYPERLINK("http://slimages.macys.com/is/image/MCY/15604029 ")</f>
        <v xml:space="preserve">http://slimages.macys.com/is/image/MCY/15604029 </v>
      </c>
    </row>
    <row r="222" spans="1:11" ht="20.100000000000001" customHeight="1" x14ac:dyDescent="0.25">
      <c r="A222" s="12" t="s">
        <v>1296</v>
      </c>
      <c r="B222" s="13">
        <v>13770172</v>
      </c>
      <c r="C222" s="8">
        <v>732996957791</v>
      </c>
      <c r="D222" s="6" t="s">
        <v>1372</v>
      </c>
      <c r="E222" s="18">
        <v>1</v>
      </c>
      <c r="F222" s="14">
        <v>19.989999999999998</v>
      </c>
      <c r="G222" s="14">
        <v>19.989999999999998</v>
      </c>
      <c r="H222" s="7" t="s">
        <v>944</v>
      </c>
      <c r="I222" s="7" t="s">
        <v>1221</v>
      </c>
      <c r="J222" s="7" t="s">
        <v>1172</v>
      </c>
      <c r="K222" s="7" t="str">
        <f>HYPERLINK("http://slimages.macys.com/is/image/MCY/16143901 ")</f>
        <v xml:space="preserve">http://slimages.macys.com/is/image/MCY/16143901 </v>
      </c>
    </row>
    <row r="223" spans="1:11" ht="20.100000000000001" customHeight="1" x14ac:dyDescent="0.25">
      <c r="A223" s="12" t="s">
        <v>1296</v>
      </c>
      <c r="B223" s="13">
        <v>13770172</v>
      </c>
      <c r="C223" s="8">
        <v>732997232941</v>
      </c>
      <c r="D223" s="6" t="s">
        <v>150</v>
      </c>
      <c r="E223" s="18">
        <v>1</v>
      </c>
      <c r="F223" s="14">
        <v>199.99</v>
      </c>
      <c r="G223" s="14">
        <v>199.99</v>
      </c>
      <c r="H223" s="7" t="s">
        <v>987</v>
      </c>
      <c r="I223" s="7" t="s">
        <v>956</v>
      </c>
      <c r="J223" s="7" t="s">
        <v>1107</v>
      </c>
      <c r="K223" s="7" t="str">
        <f>HYPERLINK("http://slimages.macys.com/is/image/MCY/15162796 ")</f>
        <v xml:space="preserve">http://slimages.macys.com/is/image/MCY/15162796 </v>
      </c>
    </row>
    <row r="224" spans="1:11" ht="20.100000000000001" customHeight="1" x14ac:dyDescent="0.25">
      <c r="A224" s="12" t="s">
        <v>1296</v>
      </c>
      <c r="B224" s="13">
        <v>13770172</v>
      </c>
      <c r="C224" s="8">
        <v>732997393949</v>
      </c>
      <c r="D224" s="6" t="s">
        <v>1316</v>
      </c>
      <c r="E224" s="18">
        <v>1</v>
      </c>
      <c r="F224" s="14">
        <v>69.989999999999995</v>
      </c>
      <c r="G224" s="14">
        <v>69.989999999999995</v>
      </c>
      <c r="H224" s="7" t="s">
        <v>941</v>
      </c>
      <c r="I224" s="7" t="s">
        <v>1058</v>
      </c>
      <c r="J224" s="7" t="s">
        <v>1134</v>
      </c>
      <c r="K224" s="7" t="str">
        <f>HYPERLINK("http://slimages.macys.com/is/image/MCY/13368359 ")</f>
        <v xml:space="preserve">http://slimages.macys.com/is/image/MCY/13368359 </v>
      </c>
    </row>
    <row r="225" spans="1:11" ht="20.100000000000001" customHeight="1" x14ac:dyDescent="0.25">
      <c r="A225" s="12" t="s">
        <v>1296</v>
      </c>
      <c r="B225" s="13">
        <v>13770172</v>
      </c>
      <c r="C225" s="8">
        <v>732997393963</v>
      </c>
      <c r="D225" s="6" t="s">
        <v>1270</v>
      </c>
      <c r="E225" s="18">
        <v>1</v>
      </c>
      <c r="F225" s="14">
        <v>49.99</v>
      </c>
      <c r="G225" s="14">
        <v>49.99</v>
      </c>
      <c r="H225" s="7" t="s">
        <v>941</v>
      </c>
      <c r="I225" s="7" t="s">
        <v>1058</v>
      </c>
      <c r="J225" s="7" t="s">
        <v>1134</v>
      </c>
      <c r="K225" s="7" t="str">
        <f>HYPERLINK("http://slimages.macys.com/is/image/MCY/13368404 ")</f>
        <v xml:space="preserve">http://slimages.macys.com/is/image/MCY/13368404 </v>
      </c>
    </row>
    <row r="226" spans="1:11" ht="20.100000000000001" customHeight="1" x14ac:dyDescent="0.25">
      <c r="A226" s="12" t="s">
        <v>1296</v>
      </c>
      <c r="B226" s="13">
        <v>13770172</v>
      </c>
      <c r="C226" s="8">
        <v>732997421765</v>
      </c>
      <c r="D226" s="6" t="s">
        <v>151</v>
      </c>
      <c r="E226" s="18">
        <v>1</v>
      </c>
      <c r="F226" s="14">
        <v>29.99</v>
      </c>
      <c r="G226" s="14">
        <v>29.99</v>
      </c>
      <c r="H226" s="7" t="s">
        <v>976</v>
      </c>
      <c r="I226" s="7" t="s">
        <v>1097</v>
      </c>
      <c r="J226" s="7" t="s">
        <v>1098</v>
      </c>
      <c r="K226" s="7" t="str">
        <f>HYPERLINK("http://slimages.macys.com/is/image/MCY/14607258 ")</f>
        <v xml:space="preserve">http://slimages.macys.com/is/image/MCY/14607258 </v>
      </c>
    </row>
    <row r="227" spans="1:11" ht="20.100000000000001" customHeight="1" x14ac:dyDescent="0.25">
      <c r="A227" s="12" t="s">
        <v>1296</v>
      </c>
      <c r="B227" s="13">
        <v>13770172</v>
      </c>
      <c r="C227" s="8">
        <v>732997493137</v>
      </c>
      <c r="D227" s="6" t="s">
        <v>1269</v>
      </c>
      <c r="E227" s="18">
        <v>1</v>
      </c>
      <c r="F227" s="14">
        <v>149.99</v>
      </c>
      <c r="G227" s="14">
        <v>149.99</v>
      </c>
      <c r="H227" s="7" t="s">
        <v>941</v>
      </c>
      <c r="I227" s="7" t="s">
        <v>969</v>
      </c>
      <c r="J227" s="7" t="s">
        <v>970</v>
      </c>
      <c r="K227" s="7" t="str">
        <f>HYPERLINK("http://slimages.macys.com/is/image/MCY/14883564 ")</f>
        <v xml:space="preserve">http://slimages.macys.com/is/image/MCY/14883564 </v>
      </c>
    </row>
    <row r="228" spans="1:11" ht="20.100000000000001" customHeight="1" x14ac:dyDescent="0.25">
      <c r="A228" s="12" t="s">
        <v>1296</v>
      </c>
      <c r="B228" s="13">
        <v>13770172</v>
      </c>
      <c r="C228" s="8">
        <v>732997493243</v>
      </c>
      <c r="D228" s="6" t="s">
        <v>152</v>
      </c>
      <c r="E228" s="18">
        <v>1</v>
      </c>
      <c r="F228" s="14">
        <v>99.99</v>
      </c>
      <c r="G228" s="14">
        <v>99.99</v>
      </c>
      <c r="H228" s="7" t="s">
        <v>1116</v>
      </c>
      <c r="I228" s="7" t="s">
        <v>969</v>
      </c>
      <c r="J228" s="7" t="s">
        <v>970</v>
      </c>
      <c r="K228" s="7" t="str">
        <f>HYPERLINK("http://slimages.macys.com/is/image/MCY/14883564 ")</f>
        <v xml:space="preserve">http://slimages.macys.com/is/image/MCY/14883564 </v>
      </c>
    </row>
    <row r="229" spans="1:11" ht="20.100000000000001" customHeight="1" x14ac:dyDescent="0.25">
      <c r="A229" s="12" t="s">
        <v>1296</v>
      </c>
      <c r="B229" s="13">
        <v>13770172</v>
      </c>
      <c r="C229" s="8">
        <v>732997493984</v>
      </c>
      <c r="D229" s="6" t="s">
        <v>153</v>
      </c>
      <c r="E229" s="18">
        <v>1</v>
      </c>
      <c r="F229" s="14">
        <v>149.99</v>
      </c>
      <c r="G229" s="14">
        <v>149.99</v>
      </c>
      <c r="H229" s="7" t="s">
        <v>941</v>
      </c>
      <c r="I229" s="7" t="s">
        <v>969</v>
      </c>
      <c r="J229" s="7" t="s">
        <v>970</v>
      </c>
      <c r="K229" s="7" t="str">
        <f>HYPERLINK("http://slimages.macys.com/is/image/MCY/15389610 ")</f>
        <v xml:space="preserve">http://slimages.macys.com/is/image/MCY/15389610 </v>
      </c>
    </row>
    <row r="230" spans="1:11" ht="20.100000000000001" customHeight="1" x14ac:dyDescent="0.25">
      <c r="A230" s="12" t="s">
        <v>1296</v>
      </c>
      <c r="B230" s="13">
        <v>13770172</v>
      </c>
      <c r="C230" s="8">
        <v>732997629338</v>
      </c>
      <c r="D230" s="6" t="s">
        <v>759</v>
      </c>
      <c r="E230" s="18">
        <v>1</v>
      </c>
      <c r="F230" s="14">
        <v>59.99</v>
      </c>
      <c r="G230" s="14">
        <v>59.99</v>
      </c>
      <c r="H230" s="7" t="s">
        <v>950</v>
      </c>
      <c r="I230" s="7" t="s">
        <v>1080</v>
      </c>
      <c r="J230" s="7" t="s">
        <v>1081</v>
      </c>
      <c r="K230" s="7" t="str">
        <f>HYPERLINK("http://slimages.macys.com/is/image/MCY/14823286 ")</f>
        <v xml:space="preserve">http://slimages.macys.com/is/image/MCY/14823286 </v>
      </c>
    </row>
    <row r="231" spans="1:11" ht="20.100000000000001" customHeight="1" x14ac:dyDescent="0.25">
      <c r="A231" s="12" t="s">
        <v>1296</v>
      </c>
      <c r="B231" s="13">
        <v>13770172</v>
      </c>
      <c r="C231" s="8">
        <v>732997906491</v>
      </c>
      <c r="D231" s="6" t="s">
        <v>1317</v>
      </c>
      <c r="E231" s="18">
        <v>2</v>
      </c>
      <c r="F231" s="14">
        <v>79.989999999999995</v>
      </c>
      <c r="G231" s="14">
        <v>159.97999999999999</v>
      </c>
      <c r="H231" s="7" t="s">
        <v>1095</v>
      </c>
      <c r="I231" s="7" t="s">
        <v>956</v>
      </c>
      <c r="J231" s="7" t="s">
        <v>1014</v>
      </c>
      <c r="K231" s="7" t="str">
        <f>HYPERLINK("http://slimages.macys.com/is/image/MCY/15767051 ")</f>
        <v xml:space="preserve">http://slimages.macys.com/is/image/MCY/15767051 </v>
      </c>
    </row>
    <row r="232" spans="1:11" ht="20.100000000000001" customHeight="1" x14ac:dyDescent="0.25">
      <c r="A232" s="12" t="s">
        <v>1296</v>
      </c>
      <c r="B232" s="13">
        <v>13770172</v>
      </c>
      <c r="C232" s="8">
        <v>732997906507</v>
      </c>
      <c r="D232" s="6" t="s">
        <v>154</v>
      </c>
      <c r="E232" s="18">
        <v>1</v>
      </c>
      <c r="F232" s="14">
        <v>89.99</v>
      </c>
      <c r="G232" s="14">
        <v>89.99</v>
      </c>
      <c r="H232" s="7" t="s">
        <v>1095</v>
      </c>
      <c r="I232" s="7" t="s">
        <v>956</v>
      </c>
      <c r="J232" s="7" t="s">
        <v>1014</v>
      </c>
      <c r="K232" s="7" t="str">
        <f>HYPERLINK("http://slimages.macys.com/is/image/MCY/15767055 ")</f>
        <v xml:space="preserve">http://slimages.macys.com/is/image/MCY/15767055 </v>
      </c>
    </row>
    <row r="233" spans="1:11" ht="20.100000000000001" customHeight="1" x14ac:dyDescent="0.25">
      <c r="A233" s="12" t="s">
        <v>1296</v>
      </c>
      <c r="B233" s="13">
        <v>13770172</v>
      </c>
      <c r="C233" s="8">
        <v>732997906507</v>
      </c>
      <c r="D233" s="6" t="s">
        <v>155</v>
      </c>
      <c r="E233" s="18">
        <v>1</v>
      </c>
      <c r="F233" s="14">
        <v>89.99</v>
      </c>
      <c r="G233" s="14">
        <v>89.99</v>
      </c>
      <c r="H233" s="7" t="s">
        <v>1095</v>
      </c>
      <c r="I233" s="7" t="s">
        <v>956</v>
      </c>
      <c r="J233" s="7" t="s">
        <v>1014</v>
      </c>
      <c r="K233" s="7" t="str">
        <f>HYPERLINK("http://slimages.macys.com/is/image/MCY/15767055 ")</f>
        <v xml:space="preserve">http://slimages.macys.com/is/image/MCY/15767055 </v>
      </c>
    </row>
    <row r="234" spans="1:11" ht="20.100000000000001" customHeight="1" x14ac:dyDescent="0.25">
      <c r="A234" s="12" t="s">
        <v>1296</v>
      </c>
      <c r="B234" s="13">
        <v>13770172</v>
      </c>
      <c r="C234" s="8">
        <v>732998112365</v>
      </c>
      <c r="D234" s="6" t="s">
        <v>156</v>
      </c>
      <c r="E234" s="18">
        <v>1</v>
      </c>
      <c r="F234" s="14">
        <v>84.99</v>
      </c>
      <c r="G234" s="14">
        <v>84.99</v>
      </c>
      <c r="H234" s="7" t="s">
        <v>941</v>
      </c>
      <c r="I234" s="7" t="s">
        <v>956</v>
      </c>
      <c r="J234" s="7" t="s">
        <v>1028</v>
      </c>
      <c r="K234" s="7" t="str">
        <f>HYPERLINK("http://slimages.macys.com/is/image/MCY/16356755 ")</f>
        <v xml:space="preserve">http://slimages.macys.com/is/image/MCY/16356755 </v>
      </c>
    </row>
    <row r="235" spans="1:11" ht="20.100000000000001" customHeight="1" x14ac:dyDescent="0.25">
      <c r="A235" s="12" t="s">
        <v>1296</v>
      </c>
      <c r="B235" s="13">
        <v>13770172</v>
      </c>
      <c r="C235" s="8">
        <v>732998123231</v>
      </c>
      <c r="D235" s="6" t="s">
        <v>1380</v>
      </c>
      <c r="E235" s="18">
        <v>1</v>
      </c>
      <c r="F235" s="14">
        <v>249.99</v>
      </c>
      <c r="G235" s="14">
        <v>249.99</v>
      </c>
      <c r="H235" s="7" t="s">
        <v>968</v>
      </c>
      <c r="I235" s="7" t="s">
        <v>956</v>
      </c>
      <c r="J235" s="7" t="s">
        <v>1109</v>
      </c>
      <c r="K235" s="7" t="str">
        <f>HYPERLINK("http://slimages.macys.com/is/image/MCY/15924247 ")</f>
        <v xml:space="preserve">http://slimages.macys.com/is/image/MCY/15924247 </v>
      </c>
    </row>
    <row r="236" spans="1:11" ht="20.100000000000001" customHeight="1" x14ac:dyDescent="0.25">
      <c r="A236" s="12" t="s">
        <v>1296</v>
      </c>
      <c r="B236" s="13">
        <v>13770172</v>
      </c>
      <c r="C236" s="8">
        <v>732998215998</v>
      </c>
      <c r="D236" s="6" t="s">
        <v>762</v>
      </c>
      <c r="E236" s="18">
        <v>1</v>
      </c>
      <c r="F236" s="14">
        <v>119.99</v>
      </c>
      <c r="G236" s="14">
        <v>119.99</v>
      </c>
      <c r="H236" s="7" t="s">
        <v>981</v>
      </c>
      <c r="I236" s="7" t="s">
        <v>969</v>
      </c>
      <c r="J236" s="7" t="s">
        <v>970</v>
      </c>
      <c r="K236" s="7" t="str">
        <f>HYPERLINK("http://slimages.macys.com/is/image/MCY/8433239 ")</f>
        <v xml:space="preserve">http://slimages.macys.com/is/image/MCY/8433239 </v>
      </c>
    </row>
    <row r="237" spans="1:11" ht="20.100000000000001" customHeight="1" x14ac:dyDescent="0.25">
      <c r="A237" s="12" t="s">
        <v>1296</v>
      </c>
      <c r="B237" s="13">
        <v>13770172</v>
      </c>
      <c r="C237" s="8">
        <v>732998216001</v>
      </c>
      <c r="D237" s="6" t="s">
        <v>157</v>
      </c>
      <c r="E237" s="18">
        <v>1</v>
      </c>
      <c r="F237" s="14">
        <v>44.99</v>
      </c>
      <c r="G237" s="14">
        <v>44.99</v>
      </c>
      <c r="H237" s="7" t="s">
        <v>981</v>
      </c>
      <c r="I237" s="7" t="s">
        <v>969</v>
      </c>
      <c r="J237" s="7" t="s">
        <v>970</v>
      </c>
      <c r="K237" s="7" t="str">
        <f>HYPERLINK("http://slimages.macys.com/is/image/MCY/8433239 ")</f>
        <v xml:space="preserve">http://slimages.macys.com/is/image/MCY/8433239 </v>
      </c>
    </row>
    <row r="238" spans="1:11" ht="20.100000000000001" customHeight="1" x14ac:dyDescent="0.25">
      <c r="A238" s="12" t="s">
        <v>1296</v>
      </c>
      <c r="B238" s="13">
        <v>13770172</v>
      </c>
      <c r="C238" s="8">
        <v>732998285519</v>
      </c>
      <c r="D238" s="6" t="s">
        <v>158</v>
      </c>
      <c r="E238" s="18">
        <v>1</v>
      </c>
      <c r="F238" s="14">
        <v>59.99</v>
      </c>
      <c r="G238" s="14">
        <v>59.99</v>
      </c>
      <c r="H238" s="7" t="s">
        <v>981</v>
      </c>
      <c r="I238" s="7" t="s">
        <v>969</v>
      </c>
      <c r="J238" s="7" t="s">
        <v>970</v>
      </c>
      <c r="K238" s="7" t="str">
        <f>HYPERLINK("http://slimages.macys.com/is/image/MCY/8432521 ")</f>
        <v xml:space="preserve">http://slimages.macys.com/is/image/MCY/8432521 </v>
      </c>
    </row>
    <row r="239" spans="1:11" ht="20.100000000000001" customHeight="1" x14ac:dyDescent="0.25">
      <c r="A239" s="12" t="s">
        <v>1296</v>
      </c>
      <c r="B239" s="13">
        <v>13770172</v>
      </c>
      <c r="C239" s="8">
        <v>732998330288</v>
      </c>
      <c r="D239" s="6" t="s">
        <v>387</v>
      </c>
      <c r="E239" s="18">
        <v>1</v>
      </c>
      <c r="F239" s="14">
        <v>249.99</v>
      </c>
      <c r="G239" s="14">
        <v>249.99</v>
      </c>
      <c r="H239" s="7" t="s">
        <v>941</v>
      </c>
      <c r="I239" s="7" t="s">
        <v>956</v>
      </c>
      <c r="J239" s="7" t="s">
        <v>1014</v>
      </c>
      <c r="K239" s="7" t="str">
        <f>HYPERLINK("http://slimages.macys.com/is/image/MCY/16381596 ")</f>
        <v xml:space="preserve">http://slimages.macys.com/is/image/MCY/16381596 </v>
      </c>
    </row>
    <row r="240" spans="1:11" ht="20.100000000000001" customHeight="1" x14ac:dyDescent="0.25">
      <c r="A240" s="12" t="s">
        <v>1296</v>
      </c>
      <c r="B240" s="13">
        <v>13770172</v>
      </c>
      <c r="C240" s="8">
        <v>732998330370</v>
      </c>
      <c r="D240" s="6" t="s">
        <v>159</v>
      </c>
      <c r="E240" s="18">
        <v>1</v>
      </c>
      <c r="F240" s="14">
        <v>79.989999999999995</v>
      </c>
      <c r="G240" s="14">
        <v>79.989999999999995</v>
      </c>
      <c r="H240" s="7" t="s">
        <v>941</v>
      </c>
      <c r="I240" s="7" t="s">
        <v>956</v>
      </c>
      <c r="J240" s="7" t="s">
        <v>1014</v>
      </c>
      <c r="K240" s="7" t="str">
        <f>HYPERLINK("http://slimages.macys.com/is/image/MCY/16383056 ")</f>
        <v xml:space="preserve">http://slimages.macys.com/is/image/MCY/16383056 </v>
      </c>
    </row>
    <row r="241" spans="1:11" ht="20.100000000000001" customHeight="1" x14ac:dyDescent="0.25">
      <c r="A241" s="12" t="s">
        <v>1296</v>
      </c>
      <c r="B241" s="13">
        <v>13770172</v>
      </c>
      <c r="C241" s="8">
        <v>732998330387</v>
      </c>
      <c r="D241" s="6" t="s">
        <v>1318</v>
      </c>
      <c r="E241" s="18">
        <v>2</v>
      </c>
      <c r="F241" s="14">
        <v>249.99</v>
      </c>
      <c r="G241" s="14">
        <v>499.98</v>
      </c>
      <c r="H241" s="7" t="s">
        <v>941</v>
      </c>
      <c r="I241" s="7" t="s">
        <v>956</v>
      </c>
      <c r="J241" s="7" t="s">
        <v>1014</v>
      </c>
      <c r="K241" s="7" t="str">
        <f>HYPERLINK("http://slimages.macys.com/is/image/MCY/16381596 ")</f>
        <v xml:space="preserve">http://slimages.macys.com/is/image/MCY/16381596 </v>
      </c>
    </row>
    <row r="242" spans="1:11" ht="20.100000000000001" customHeight="1" x14ac:dyDescent="0.25">
      <c r="A242" s="12" t="s">
        <v>1296</v>
      </c>
      <c r="B242" s="13">
        <v>13770172</v>
      </c>
      <c r="C242" s="8">
        <v>732998330387</v>
      </c>
      <c r="D242" s="6" t="s">
        <v>1318</v>
      </c>
      <c r="E242" s="18">
        <v>1</v>
      </c>
      <c r="F242" s="14">
        <v>249.99</v>
      </c>
      <c r="G242" s="14">
        <v>249.99</v>
      </c>
      <c r="H242" s="7" t="s">
        <v>941</v>
      </c>
      <c r="I242" s="7" t="s">
        <v>956</v>
      </c>
      <c r="J242" s="7" t="s">
        <v>1014</v>
      </c>
      <c r="K242" s="7" t="str">
        <f>HYPERLINK("http://slimages.macys.com/is/image/MCY/16381596 ")</f>
        <v xml:space="preserve">http://slimages.macys.com/is/image/MCY/16381596 </v>
      </c>
    </row>
    <row r="243" spans="1:11" ht="20.100000000000001" customHeight="1" x14ac:dyDescent="0.25">
      <c r="A243" s="12" t="s">
        <v>1296</v>
      </c>
      <c r="B243" s="13">
        <v>13770172</v>
      </c>
      <c r="C243" s="8">
        <v>732998345800</v>
      </c>
      <c r="D243" s="6" t="s">
        <v>160</v>
      </c>
      <c r="E243" s="18">
        <v>3</v>
      </c>
      <c r="F243" s="14">
        <v>79.989999999999995</v>
      </c>
      <c r="G243" s="14">
        <v>239.97</v>
      </c>
      <c r="H243" s="7" t="s">
        <v>1013</v>
      </c>
      <c r="I243" s="7" t="s">
        <v>956</v>
      </c>
      <c r="J243" s="7" t="s">
        <v>1014</v>
      </c>
      <c r="K243" s="7" t="str">
        <f>HYPERLINK("http://slimages.macys.com/is/image/MCY/16355838 ")</f>
        <v xml:space="preserve">http://slimages.macys.com/is/image/MCY/16355838 </v>
      </c>
    </row>
    <row r="244" spans="1:11" ht="20.100000000000001" customHeight="1" x14ac:dyDescent="0.25">
      <c r="A244" s="12" t="s">
        <v>1296</v>
      </c>
      <c r="B244" s="13">
        <v>13770172</v>
      </c>
      <c r="C244" s="8">
        <v>732998362395</v>
      </c>
      <c r="D244" s="6" t="s">
        <v>161</v>
      </c>
      <c r="E244" s="18">
        <v>1</v>
      </c>
      <c r="F244" s="14">
        <v>59.99</v>
      </c>
      <c r="G244" s="14">
        <v>59.99</v>
      </c>
      <c r="H244" s="7" t="s">
        <v>976</v>
      </c>
      <c r="I244" s="7" t="s">
        <v>956</v>
      </c>
      <c r="J244" s="7" t="s">
        <v>1109</v>
      </c>
      <c r="K244" s="7" t="str">
        <f>HYPERLINK("http://slimages.macys.com/is/image/MCY/16354731 ")</f>
        <v xml:space="preserve">http://slimages.macys.com/is/image/MCY/16354731 </v>
      </c>
    </row>
    <row r="245" spans="1:11" ht="20.100000000000001" customHeight="1" x14ac:dyDescent="0.25">
      <c r="A245" s="12" t="s">
        <v>1296</v>
      </c>
      <c r="B245" s="13">
        <v>13770172</v>
      </c>
      <c r="C245" s="8">
        <v>732998362449</v>
      </c>
      <c r="D245" s="6" t="s">
        <v>162</v>
      </c>
      <c r="E245" s="18">
        <v>1</v>
      </c>
      <c r="F245" s="14">
        <v>59.99</v>
      </c>
      <c r="G245" s="14">
        <v>59.99</v>
      </c>
      <c r="H245" s="7" t="s">
        <v>976</v>
      </c>
      <c r="I245" s="7" t="s">
        <v>956</v>
      </c>
      <c r="J245" s="7" t="s">
        <v>1109</v>
      </c>
      <c r="K245" s="7" t="str">
        <f>HYPERLINK("http://slimages.macys.com/is/image/MCY/16356747 ")</f>
        <v xml:space="preserve">http://slimages.macys.com/is/image/MCY/16356747 </v>
      </c>
    </row>
    <row r="246" spans="1:11" ht="20.100000000000001" customHeight="1" x14ac:dyDescent="0.25">
      <c r="A246" s="12" t="s">
        <v>1296</v>
      </c>
      <c r="B246" s="13">
        <v>13770172</v>
      </c>
      <c r="C246" s="8">
        <v>732998761822</v>
      </c>
      <c r="D246" s="6" t="s">
        <v>163</v>
      </c>
      <c r="E246" s="18">
        <v>1</v>
      </c>
      <c r="F246" s="14">
        <v>78.11</v>
      </c>
      <c r="G246" s="14">
        <v>78.11</v>
      </c>
      <c r="H246" s="7"/>
      <c r="I246" s="7" t="s">
        <v>969</v>
      </c>
      <c r="J246" s="7" t="s">
        <v>1035</v>
      </c>
      <c r="K246" s="7" t="str">
        <f>HYPERLINK("http://slimages.macys.com/is/image/MCY/16380271 ")</f>
        <v xml:space="preserve">http://slimages.macys.com/is/image/MCY/16380271 </v>
      </c>
    </row>
    <row r="247" spans="1:11" ht="20.100000000000001" customHeight="1" x14ac:dyDescent="0.25">
      <c r="A247" s="12" t="s">
        <v>1296</v>
      </c>
      <c r="B247" s="13">
        <v>13770172</v>
      </c>
      <c r="C247" s="8">
        <v>732998768197</v>
      </c>
      <c r="D247" s="6" t="s">
        <v>164</v>
      </c>
      <c r="E247" s="18">
        <v>1</v>
      </c>
      <c r="F247" s="14">
        <v>4.99</v>
      </c>
      <c r="G247" s="14">
        <v>4.99</v>
      </c>
      <c r="H247" s="7" t="s">
        <v>981</v>
      </c>
      <c r="I247" s="7" t="s">
        <v>971</v>
      </c>
      <c r="J247" s="7" t="s">
        <v>992</v>
      </c>
      <c r="K247" s="7" t="str">
        <f>HYPERLINK("http://slimages.macys.com/is/image/MCY/16520233 ")</f>
        <v xml:space="preserve">http://slimages.macys.com/is/image/MCY/16520233 </v>
      </c>
    </row>
    <row r="248" spans="1:11" ht="20.100000000000001" customHeight="1" x14ac:dyDescent="0.25">
      <c r="A248" s="12" t="s">
        <v>1296</v>
      </c>
      <c r="B248" s="13">
        <v>13770172</v>
      </c>
      <c r="C248" s="8">
        <v>732998768241</v>
      </c>
      <c r="D248" s="6" t="s">
        <v>165</v>
      </c>
      <c r="E248" s="18">
        <v>2</v>
      </c>
      <c r="F248" s="14">
        <v>2.99</v>
      </c>
      <c r="G248" s="14">
        <v>5.98</v>
      </c>
      <c r="H248" s="7" t="s">
        <v>941</v>
      </c>
      <c r="I248" s="7" t="s">
        <v>971</v>
      </c>
      <c r="J248" s="7" t="s">
        <v>992</v>
      </c>
      <c r="K248" s="7" t="str">
        <f>HYPERLINK("http://slimages.macys.com/is/image/MCY/16520272 ")</f>
        <v xml:space="preserve">http://slimages.macys.com/is/image/MCY/16520272 </v>
      </c>
    </row>
    <row r="249" spans="1:11" ht="20.100000000000001" customHeight="1" x14ac:dyDescent="0.25">
      <c r="A249" s="12" t="s">
        <v>1296</v>
      </c>
      <c r="B249" s="13">
        <v>13770172</v>
      </c>
      <c r="C249" s="8">
        <v>732998792802</v>
      </c>
      <c r="D249" s="6" t="s">
        <v>166</v>
      </c>
      <c r="E249" s="18">
        <v>1</v>
      </c>
      <c r="F249" s="14">
        <v>99.99</v>
      </c>
      <c r="G249" s="14">
        <v>99.99</v>
      </c>
      <c r="H249" s="7" t="s">
        <v>1095</v>
      </c>
      <c r="I249" s="7" t="s">
        <v>969</v>
      </c>
      <c r="J249" s="7" t="s">
        <v>970</v>
      </c>
      <c r="K249" s="7" t="str">
        <f>HYPERLINK("http://slimages.macys.com/is/image/MCY/11534834 ")</f>
        <v xml:space="preserve">http://slimages.macys.com/is/image/MCY/11534834 </v>
      </c>
    </row>
    <row r="250" spans="1:11" ht="20.100000000000001" customHeight="1" x14ac:dyDescent="0.25">
      <c r="A250" s="12" t="s">
        <v>1296</v>
      </c>
      <c r="B250" s="13">
        <v>13770172</v>
      </c>
      <c r="C250" s="8">
        <v>732999186327</v>
      </c>
      <c r="D250" s="6" t="s">
        <v>1160</v>
      </c>
      <c r="E250" s="18">
        <v>1</v>
      </c>
      <c r="F250" s="14">
        <v>199.99</v>
      </c>
      <c r="G250" s="14">
        <v>199.99</v>
      </c>
      <c r="H250" s="7" t="s">
        <v>944</v>
      </c>
      <c r="I250" s="7" t="s">
        <v>1080</v>
      </c>
      <c r="J250" s="7" t="s">
        <v>1081</v>
      </c>
      <c r="K250" s="7" t="str">
        <f>HYPERLINK("http://slimages.macys.com/is/image/MCY/16792609 ")</f>
        <v xml:space="preserve">http://slimages.macys.com/is/image/MCY/16792609 </v>
      </c>
    </row>
    <row r="251" spans="1:11" ht="20.100000000000001" customHeight="1" x14ac:dyDescent="0.25">
      <c r="A251" s="12" t="s">
        <v>1296</v>
      </c>
      <c r="B251" s="13">
        <v>13770172</v>
      </c>
      <c r="C251" s="8">
        <v>732999215775</v>
      </c>
      <c r="D251" s="6" t="s">
        <v>167</v>
      </c>
      <c r="E251" s="18">
        <v>1</v>
      </c>
      <c r="F251" s="14">
        <v>99.99</v>
      </c>
      <c r="G251" s="14">
        <v>99.99</v>
      </c>
      <c r="H251" s="7" t="s">
        <v>941</v>
      </c>
      <c r="I251" s="7" t="s">
        <v>1022</v>
      </c>
      <c r="J251" s="7" t="s">
        <v>1254</v>
      </c>
      <c r="K251" s="7" t="str">
        <f>HYPERLINK("http://slimages.macys.com/is/image/MCY/18097083 ")</f>
        <v xml:space="preserve">http://slimages.macys.com/is/image/MCY/18097083 </v>
      </c>
    </row>
    <row r="252" spans="1:11" ht="20.100000000000001" customHeight="1" x14ac:dyDescent="0.25">
      <c r="A252" s="12" t="s">
        <v>1296</v>
      </c>
      <c r="B252" s="13">
        <v>13770172</v>
      </c>
      <c r="C252" s="8">
        <v>732999215782</v>
      </c>
      <c r="D252" s="6" t="s">
        <v>168</v>
      </c>
      <c r="E252" s="18">
        <v>1</v>
      </c>
      <c r="F252" s="14">
        <v>119.99</v>
      </c>
      <c r="G252" s="14">
        <v>119.99</v>
      </c>
      <c r="H252" s="7" t="s">
        <v>941</v>
      </c>
      <c r="I252" s="7" t="s">
        <v>1022</v>
      </c>
      <c r="J252" s="7" t="s">
        <v>1254</v>
      </c>
      <c r="K252" s="7" t="str">
        <f>HYPERLINK("http://slimages.macys.com/is/image/MCY/18097083 ")</f>
        <v xml:space="preserve">http://slimages.macys.com/is/image/MCY/18097083 </v>
      </c>
    </row>
    <row r="253" spans="1:11" ht="20.100000000000001" customHeight="1" x14ac:dyDescent="0.25">
      <c r="A253" s="12" t="s">
        <v>1296</v>
      </c>
      <c r="B253" s="13">
        <v>13770172</v>
      </c>
      <c r="C253" s="8">
        <v>732999290178</v>
      </c>
      <c r="D253" s="6" t="s">
        <v>1163</v>
      </c>
      <c r="E253" s="18">
        <v>1</v>
      </c>
      <c r="F253" s="14">
        <v>179.99</v>
      </c>
      <c r="G253" s="14">
        <v>179.99</v>
      </c>
      <c r="H253" s="7" t="s">
        <v>1036</v>
      </c>
      <c r="I253" s="7" t="s">
        <v>956</v>
      </c>
      <c r="J253" s="7" t="s">
        <v>1109</v>
      </c>
      <c r="K253" s="7" t="str">
        <f>HYPERLINK("http://slimages.macys.com/is/image/MCY/17106627 ")</f>
        <v xml:space="preserve">http://slimages.macys.com/is/image/MCY/17106627 </v>
      </c>
    </row>
    <row r="254" spans="1:11" ht="20.100000000000001" customHeight="1" x14ac:dyDescent="0.25">
      <c r="A254" s="12" t="s">
        <v>1296</v>
      </c>
      <c r="B254" s="13">
        <v>13770172</v>
      </c>
      <c r="C254" s="8">
        <v>732999609796</v>
      </c>
      <c r="D254" s="6" t="s">
        <v>169</v>
      </c>
      <c r="E254" s="18">
        <v>1</v>
      </c>
      <c r="F254" s="14">
        <v>79.989999999999995</v>
      </c>
      <c r="G254" s="14">
        <v>79.989999999999995</v>
      </c>
      <c r="H254" s="7" t="s">
        <v>1013</v>
      </c>
      <c r="I254" s="7" t="s">
        <v>956</v>
      </c>
      <c r="J254" s="7" t="s">
        <v>1107</v>
      </c>
      <c r="K254" s="7" t="str">
        <f>HYPERLINK("http://slimages.macys.com/is/image/MCY/17530965 ")</f>
        <v xml:space="preserve">http://slimages.macys.com/is/image/MCY/17530965 </v>
      </c>
    </row>
    <row r="255" spans="1:11" ht="20.100000000000001" customHeight="1" x14ac:dyDescent="0.25">
      <c r="A255" s="12" t="s">
        <v>1296</v>
      </c>
      <c r="B255" s="13">
        <v>13770172</v>
      </c>
      <c r="C255" s="8">
        <v>732999620111</v>
      </c>
      <c r="D255" s="6" t="s">
        <v>1010</v>
      </c>
      <c r="E255" s="18">
        <v>1</v>
      </c>
      <c r="F255" s="14">
        <v>99.99</v>
      </c>
      <c r="G255" s="14">
        <v>99.99</v>
      </c>
      <c r="H255" s="7" t="s">
        <v>941</v>
      </c>
      <c r="I255" s="7" t="s">
        <v>1011</v>
      </c>
      <c r="J255" s="7" t="s">
        <v>1012</v>
      </c>
      <c r="K255" s="7" t="str">
        <f>HYPERLINK("http://slimages.macys.com/is/image/MCY/17594680 ")</f>
        <v xml:space="preserve">http://slimages.macys.com/is/image/MCY/17594680 </v>
      </c>
    </row>
    <row r="256" spans="1:11" ht="20.100000000000001" customHeight="1" x14ac:dyDescent="0.25">
      <c r="A256" s="12" t="s">
        <v>1296</v>
      </c>
      <c r="B256" s="13">
        <v>13770172</v>
      </c>
      <c r="C256" s="8">
        <v>732999742189</v>
      </c>
      <c r="D256" s="6" t="s">
        <v>170</v>
      </c>
      <c r="E256" s="18">
        <v>1</v>
      </c>
      <c r="F256" s="14">
        <v>49.99</v>
      </c>
      <c r="G256" s="14">
        <v>49.99</v>
      </c>
      <c r="H256" s="7" t="s">
        <v>1001</v>
      </c>
      <c r="I256" s="7" t="s">
        <v>1022</v>
      </c>
      <c r="J256" s="7" t="s">
        <v>1254</v>
      </c>
      <c r="K256" s="7" t="str">
        <f>HYPERLINK("http://slimages.macys.com/is/image/MCY/17662287 ")</f>
        <v xml:space="preserve">http://slimages.macys.com/is/image/MCY/17662287 </v>
      </c>
    </row>
    <row r="257" spans="1:11" ht="20.100000000000001" customHeight="1" x14ac:dyDescent="0.25">
      <c r="A257" s="12" t="s">
        <v>1296</v>
      </c>
      <c r="B257" s="13">
        <v>13770172</v>
      </c>
      <c r="C257" s="8">
        <v>732999782987</v>
      </c>
      <c r="D257" s="6" t="s">
        <v>1193</v>
      </c>
      <c r="E257" s="18">
        <v>1</v>
      </c>
      <c r="F257" s="14">
        <v>44.99</v>
      </c>
      <c r="G257" s="14">
        <v>44.99</v>
      </c>
      <c r="H257" s="7" t="s">
        <v>981</v>
      </c>
      <c r="I257" s="7" t="s">
        <v>1097</v>
      </c>
      <c r="J257" s="7" t="s">
        <v>1098</v>
      </c>
      <c r="K257" s="7" t="str">
        <f>HYPERLINK("http://slimages.macys.com/is/image/MCY/18221334 ")</f>
        <v xml:space="preserve">http://slimages.macys.com/is/image/MCY/18221334 </v>
      </c>
    </row>
    <row r="258" spans="1:11" ht="20.100000000000001" customHeight="1" x14ac:dyDescent="0.25">
      <c r="A258" s="12" t="s">
        <v>1296</v>
      </c>
      <c r="B258" s="13">
        <v>13770172</v>
      </c>
      <c r="C258" s="8">
        <v>732999785056</v>
      </c>
      <c r="D258" s="6" t="s">
        <v>171</v>
      </c>
      <c r="E258" s="18">
        <v>1</v>
      </c>
      <c r="F258" s="14">
        <v>169.99</v>
      </c>
      <c r="G258" s="14">
        <v>169.99</v>
      </c>
      <c r="H258" s="7" t="s">
        <v>941</v>
      </c>
      <c r="I258" s="7" t="s">
        <v>1058</v>
      </c>
      <c r="J258" s="7" t="s">
        <v>1129</v>
      </c>
      <c r="K258" s="7" t="str">
        <f>HYPERLINK("http://slimages.macys.com/is/image/MCY/17576412 ")</f>
        <v xml:space="preserve">http://slimages.macys.com/is/image/MCY/17576412 </v>
      </c>
    </row>
    <row r="259" spans="1:11" ht="20.100000000000001" customHeight="1" x14ac:dyDescent="0.25">
      <c r="A259" s="12" t="s">
        <v>1296</v>
      </c>
      <c r="B259" s="13">
        <v>13770172</v>
      </c>
      <c r="C259" s="8">
        <v>732999785223</v>
      </c>
      <c r="D259" s="6" t="s">
        <v>1222</v>
      </c>
      <c r="E259" s="18">
        <v>1</v>
      </c>
      <c r="F259" s="14">
        <v>16.989999999999998</v>
      </c>
      <c r="G259" s="14">
        <v>16.989999999999998</v>
      </c>
      <c r="H259" s="7" t="s">
        <v>944</v>
      </c>
      <c r="I259" s="7" t="s">
        <v>971</v>
      </c>
      <c r="J259" s="7" t="s">
        <v>972</v>
      </c>
      <c r="K259" s="7" t="str">
        <f>HYPERLINK("http://slimages.macys.com/is/image/MCY/17745837 ")</f>
        <v xml:space="preserve">http://slimages.macys.com/is/image/MCY/17745837 </v>
      </c>
    </row>
    <row r="260" spans="1:11" ht="20.100000000000001" customHeight="1" x14ac:dyDescent="0.25">
      <c r="A260" s="12" t="s">
        <v>1296</v>
      </c>
      <c r="B260" s="13">
        <v>13770172</v>
      </c>
      <c r="C260" s="8">
        <v>732999788408</v>
      </c>
      <c r="D260" s="6" t="s">
        <v>1204</v>
      </c>
      <c r="E260" s="18">
        <v>3</v>
      </c>
      <c r="F260" s="14">
        <v>69.989999999999995</v>
      </c>
      <c r="G260" s="14">
        <v>209.97</v>
      </c>
      <c r="H260" s="7" t="s">
        <v>950</v>
      </c>
      <c r="I260" s="7" t="s">
        <v>956</v>
      </c>
      <c r="J260" s="7" t="s">
        <v>1109</v>
      </c>
      <c r="K260" s="7" t="str">
        <f>HYPERLINK("http://slimages.macys.com/is/image/MCY/17888570 ")</f>
        <v xml:space="preserve">http://slimages.macys.com/is/image/MCY/17888570 </v>
      </c>
    </row>
    <row r="261" spans="1:11" ht="20.100000000000001" customHeight="1" x14ac:dyDescent="0.25">
      <c r="A261" s="12" t="s">
        <v>1296</v>
      </c>
      <c r="B261" s="13">
        <v>13770172</v>
      </c>
      <c r="C261" s="8">
        <v>732999788491</v>
      </c>
      <c r="D261" s="6" t="s">
        <v>1108</v>
      </c>
      <c r="E261" s="18">
        <v>1</v>
      </c>
      <c r="F261" s="14">
        <v>249.99</v>
      </c>
      <c r="G261" s="14">
        <v>249.99</v>
      </c>
      <c r="H261" s="7" t="s">
        <v>950</v>
      </c>
      <c r="I261" s="7" t="s">
        <v>956</v>
      </c>
      <c r="J261" s="7" t="s">
        <v>1109</v>
      </c>
      <c r="K261" s="7" t="str">
        <f>HYPERLINK("http://slimages.macys.com/is/image/MCY/17793762 ")</f>
        <v xml:space="preserve">http://slimages.macys.com/is/image/MCY/17793762 </v>
      </c>
    </row>
    <row r="262" spans="1:11" ht="20.100000000000001" customHeight="1" x14ac:dyDescent="0.25">
      <c r="A262" s="12" t="s">
        <v>1296</v>
      </c>
      <c r="B262" s="13">
        <v>13770172</v>
      </c>
      <c r="C262" s="8">
        <v>732999837595</v>
      </c>
      <c r="D262" s="6" t="s">
        <v>172</v>
      </c>
      <c r="E262" s="18">
        <v>3</v>
      </c>
      <c r="F262" s="14">
        <v>64.989999999999995</v>
      </c>
      <c r="G262" s="14">
        <v>194.97</v>
      </c>
      <c r="H262" s="7" t="s">
        <v>941</v>
      </c>
      <c r="I262" s="7" t="s">
        <v>1221</v>
      </c>
      <c r="J262" s="7" t="s">
        <v>1356</v>
      </c>
      <c r="K262" s="7" t="str">
        <f>HYPERLINK("http://slimages.macys.com/is/image/MCY/14337696 ")</f>
        <v xml:space="preserve">http://slimages.macys.com/is/image/MCY/14337696 </v>
      </c>
    </row>
    <row r="263" spans="1:11" ht="20.100000000000001" customHeight="1" x14ac:dyDescent="0.25">
      <c r="A263" s="12" t="s">
        <v>1296</v>
      </c>
      <c r="B263" s="13">
        <v>13770172</v>
      </c>
      <c r="C263" s="8">
        <v>732999879830</v>
      </c>
      <c r="D263" s="6" t="s">
        <v>173</v>
      </c>
      <c r="E263" s="18">
        <v>1</v>
      </c>
      <c r="F263" s="14">
        <v>24.99</v>
      </c>
      <c r="G263" s="14">
        <v>24.99</v>
      </c>
      <c r="H263" s="7" t="s">
        <v>1068</v>
      </c>
      <c r="I263" s="7" t="s">
        <v>1022</v>
      </c>
      <c r="J263" s="7" t="s">
        <v>1254</v>
      </c>
      <c r="K263" s="7" t="str">
        <f>HYPERLINK("http://slimages.macys.com/is/image/MCY/18388398 ")</f>
        <v xml:space="preserve">http://slimages.macys.com/is/image/MCY/18388398 </v>
      </c>
    </row>
    <row r="264" spans="1:11" ht="20.100000000000001" customHeight="1" x14ac:dyDescent="0.25">
      <c r="A264" s="12" t="s">
        <v>1296</v>
      </c>
      <c r="B264" s="13">
        <v>13770172</v>
      </c>
      <c r="C264" s="8">
        <v>732999983766</v>
      </c>
      <c r="D264" s="6" t="s">
        <v>1156</v>
      </c>
      <c r="E264" s="18">
        <v>1</v>
      </c>
      <c r="F264" s="14">
        <v>249.99</v>
      </c>
      <c r="G264" s="14">
        <v>249.99</v>
      </c>
      <c r="H264" s="7" t="s">
        <v>1036</v>
      </c>
      <c r="I264" s="7" t="s">
        <v>956</v>
      </c>
      <c r="J264" s="7" t="s">
        <v>1107</v>
      </c>
      <c r="K264" s="7" t="str">
        <f>HYPERLINK("http://slimages.macys.com/is/image/MCY/18173125 ")</f>
        <v xml:space="preserve">http://slimages.macys.com/is/image/MCY/18173125 </v>
      </c>
    </row>
    <row r="265" spans="1:11" ht="20.100000000000001" customHeight="1" x14ac:dyDescent="0.25">
      <c r="A265" s="12" t="s">
        <v>1296</v>
      </c>
      <c r="B265" s="13">
        <v>13770172</v>
      </c>
      <c r="C265" s="8">
        <v>732999983766</v>
      </c>
      <c r="D265" s="6" t="s">
        <v>1156</v>
      </c>
      <c r="E265" s="18">
        <v>1</v>
      </c>
      <c r="F265" s="14">
        <v>249.99</v>
      </c>
      <c r="G265" s="14">
        <v>249.99</v>
      </c>
      <c r="H265" s="7" t="s">
        <v>1036</v>
      </c>
      <c r="I265" s="7" t="s">
        <v>956</v>
      </c>
      <c r="J265" s="7" t="s">
        <v>1107</v>
      </c>
      <c r="K265" s="7" t="str">
        <f>HYPERLINK("http://slimages.macys.com/is/image/MCY/18173125 ")</f>
        <v xml:space="preserve">http://slimages.macys.com/is/image/MCY/18173125 </v>
      </c>
    </row>
    <row r="266" spans="1:11" ht="20.100000000000001" customHeight="1" x14ac:dyDescent="0.25">
      <c r="A266" s="12" t="s">
        <v>1296</v>
      </c>
      <c r="B266" s="13">
        <v>13770172</v>
      </c>
      <c r="C266" s="8">
        <v>733001092902</v>
      </c>
      <c r="D266" s="6" t="s">
        <v>174</v>
      </c>
      <c r="E266" s="18">
        <v>1</v>
      </c>
      <c r="F266" s="14">
        <v>89.99</v>
      </c>
      <c r="G266" s="14">
        <v>89.99</v>
      </c>
      <c r="H266" s="7" t="s">
        <v>941</v>
      </c>
      <c r="I266" s="7" t="s">
        <v>956</v>
      </c>
      <c r="J266" s="7" t="s">
        <v>1014</v>
      </c>
      <c r="K266" s="7" t="str">
        <f>HYPERLINK("http://slimages.macys.com/is/image/MCY/18289952 ")</f>
        <v xml:space="preserve">http://slimages.macys.com/is/image/MCY/18289952 </v>
      </c>
    </row>
    <row r="267" spans="1:11" ht="20.100000000000001" customHeight="1" x14ac:dyDescent="0.25">
      <c r="A267" s="12" t="s">
        <v>1296</v>
      </c>
      <c r="B267" s="13">
        <v>13770172</v>
      </c>
      <c r="C267" s="8">
        <v>733001381600</v>
      </c>
      <c r="D267" s="6" t="s">
        <v>175</v>
      </c>
      <c r="E267" s="18">
        <v>1</v>
      </c>
      <c r="F267" s="14">
        <v>149.99</v>
      </c>
      <c r="G267" s="14">
        <v>149.99</v>
      </c>
      <c r="H267" s="7" t="s">
        <v>941</v>
      </c>
      <c r="I267" s="7" t="s">
        <v>1080</v>
      </c>
      <c r="J267" s="7" t="s">
        <v>1081</v>
      </c>
      <c r="K267" s="7" t="str">
        <f>HYPERLINK("http://slimages.macys.com/is/image/MCY/17912472 ")</f>
        <v xml:space="preserve">http://slimages.macys.com/is/image/MCY/17912472 </v>
      </c>
    </row>
    <row r="268" spans="1:11" ht="20.100000000000001" customHeight="1" x14ac:dyDescent="0.25">
      <c r="A268" s="12" t="s">
        <v>1296</v>
      </c>
      <c r="B268" s="13">
        <v>13770172</v>
      </c>
      <c r="C268" s="8">
        <v>733001386902</v>
      </c>
      <c r="D268" s="6" t="s">
        <v>176</v>
      </c>
      <c r="E268" s="18">
        <v>1</v>
      </c>
      <c r="F268" s="14">
        <v>129.99</v>
      </c>
      <c r="G268" s="14">
        <v>129.99</v>
      </c>
      <c r="H268" s="7" t="s">
        <v>944</v>
      </c>
      <c r="I268" s="7" t="s">
        <v>969</v>
      </c>
      <c r="J268" s="7" t="s">
        <v>1135</v>
      </c>
      <c r="K268" s="7" t="str">
        <f>HYPERLINK("http://slimages.macys.com/is/image/MCY/17885596 ")</f>
        <v xml:space="preserve">http://slimages.macys.com/is/image/MCY/17885596 </v>
      </c>
    </row>
    <row r="269" spans="1:11" ht="20.100000000000001" customHeight="1" x14ac:dyDescent="0.25">
      <c r="A269" s="12" t="s">
        <v>1296</v>
      </c>
      <c r="B269" s="13">
        <v>13770172</v>
      </c>
      <c r="C269" s="8">
        <v>733001448679</v>
      </c>
      <c r="D269" s="6" t="s">
        <v>177</v>
      </c>
      <c r="E269" s="18">
        <v>2</v>
      </c>
      <c r="F269" s="14">
        <v>39.99</v>
      </c>
      <c r="G269" s="14">
        <v>79.98</v>
      </c>
      <c r="H269" s="7" t="s">
        <v>984</v>
      </c>
      <c r="I269" s="7" t="s">
        <v>1080</v>
      </c>
      <c r="J269" s="7" t="s">
        <v>1120</v>
      </c>
      <c r="K269" s="7" t="str">
        <f>HYPERLINK("http://slimages.macys.com/is/image/MCY/957575 ")</f>
        <v xml:space="preserve">http://slimages.macys.com/is/image/MCY/957575 </v>
      </c>
    </row>
    <row r="270" spans="1:11" ht="20.100000000000001" customHeight="1" x14ac:dyDescent="0.25">
      <c r="A270" s="12" t="s">
        <v>1296</v>
      </c>
      <c r="B270" s="13">
        <v>13770172</v>
      </c>
      <c r="C270" s="8">
        <v>733001487418</v>
      </c>
      <c r="D270" s="6" t="s">
        <v>178</v>
      </c>
      <c r="E270" s="18">
        <v>1</v>
      </c>
      <c r="F270" s="14">
        <v>59.99</v>
      </c>
      <c r="G270" s="14">
        <v>59.99</v>
      </c>
      <c r="H270" s="7" t="s">
        <v>952</v>
      </c>
      <c r="I270" s="7" t="s">
        <v>1022</v>
      </c>
      <c r="J270" s="7" t="s">
        <v>1073</v>
      </c>
      <c r="K270" s="7" t="str">
        <f>HYPERLINK("http://slimages.macys.com/is/image/MCY/17667941 ")</f>
        <v xml:space="preserve">http://slimages.macys.com/is/image/MCY/17667941 </v>
      </c>
    </row>
    <row r="271" spans="1:11" ht="20.100000000000001" customHeight="1" x14ac:dyDescent="0.25">
      <c r="A271" s="12" t="s">
        <v>1296</v>
      </c>
      <c r="B271" s="13">
        <v>13770172</v>
      </c>
      <c r="C271" s="8">
        <v>733001923220</v>
      </c>
      <c r="D271" s="6" t="s">
        <v>179</v>
      </c>
      <c r="E271" s="18">
        <v>2</v>
      </c>
      <c r="F271" s="14">
        <v>89.99</v>
      </c>
      <c r="G271" s="14">
        <v>179.98</v>
      </c>
      <c r="H271" s="7" t="s">
        <v>988</v>
      </c>
      <c r="I271" s="7" t="s">
        <v>956</v>
      </c>
      <c r="J271" s="7" t="s">
        <v>1014</v>
      </c>
      <c r="K271" s="7" t="str">
        <f>HYPERLINK("http://slimages.macys.com/is/image/MCY/18613772 ")</f>
        <v xml:space="preserve">http://slimages.macys.com/is/image/MCY/18613772 </v>
      </c>
    </row>
    <row r="272" spans="1:11" ht="20.100000000000001" customHeight="1" x14ac:dyDescent="0.25">
      <c r="A272" s="12" t="s">
        <v>1296</v>
      </c>
      <c r="B272" s="13">
        <v>13770172</v>
      </c>
      <c r="C272" s="8">
        <v>733001925873</v>
      </c>
      <c r="D272" s="6" t="s">
        <v>1208</v>
      </c>
      <c r="E272" s="18">
        <v>2</v>
      </c>
      <c r="F272" s="14">
        <v>34.99</v>
      </c>
      <c r="G272" s="14">
        <v>69.98</v>
      </c>
      <c r="H272" s="7" t="s">
        <v>941</v>
      </c>
      <c r="I272" s="7" t="s">
        <v>1058</v>
      </c>
      <c r="J272" s="7" t="s">
        <v>1084</v>
      </c>
      <c r="K272" s="7" t="str">
        <f>HYPERLINK("http://slimages.macys.com/is/image/MCY/18753176 ")</f>
        <v xml:space="preserve">http://slimages.macys.com/is/image/MCY/18753176 </v>
      </c>
    </row>
    <row r="273" spans="1:11" ht="20.100000000000001" customHeight="1" x14ac:dyDescent="0.25">
      <c r="A273" s="12" t="s">
        <v>1296</v>
      </c>
      <c r="B273" s="13">
        <v>13770172</v>
      </c>
      <c r="C273" s="8">
        <v>733001925873</v>
      </c>
      <c r="D273" s="6" t="s">
        <v>1208</v>
      </c>
      <c r="E273" s="18">
        <v>1</v>
      </c>
      <c r="F273" s="14">
        <v>34.99</v>
      </c>
      <c r="G273" s="14">
        <v>34.99</v>
      </c>
      <c r="H273" s="7" t="s">
        <v>941</v>
      </c>
      <c r="I273" s="7" t="s">
        <v>1058</v>
      </c>
      <c r="J273" s="7" t="s">
        <v>1084</v>
      </c>
      <c r="K273" s="7" t="str">
        <f>HYPERLINK("http://slimages.macys.com/is/image/MCY/18753176 ")</f>
        <v xml:space="preserve">http://slimages.macys.com/is/image/MCY/18753176 </v>
      </c>
    </row>
    <row r="274" spans="1:11" ht="20.100000000000001" customHeight="1" x14ac:dyDescent="0.25">
      <c r="A274" s="12" t="s">
        <v>1296</v>
      </c>
      <c r="B274" s="13">
        <v>13770172</v>
      </c>
      <c r="C274" s="8">
        <v>733001925873</v>
      </c>
      <c r="D274" s="6" t="s">
        <v>1208</v>
      </c>
      <c r="E274" s="18">
        <v>2</v>
      </c>
      <c r="F274" s="14">
        <v>34.99</v>
      </c>
      <c r="G274" s="14">
        <v>69.98</v>
      </c>
      <c r="H274" s="7" t="s">
        <v>941</v>
      </c>
      <c r="I274" s="7" t="s">
        <v>1058</v>
      </c>
      <c r="J274" s="7" t="s">
        <v>1084</v>
      </c>
      <c r="K274" s="7" t="str">
        <f>HYPERLINK("http://slimages.macys.com/is/image/MCY/18753176 ")</f>
        <v xml:space="preserve">http://slimages.macys.com/is/image/MCY/18753176 </v>
      </c>
    </row>
    <row r="275" spans="1:11" ht="20.100000000000001" customHeight="1" x14ac:dyDescent="0.25">
      <c r="A275" s="12" t="s">
        <v>1296</v>
      </c>
      <c r="B275" s="13">
        <v>13770172</v>
      </c>
      <c r="C275" s="8">
        <v>733001925880</v>
      </c>
      <c r="D275" s="6" t="s">
        <v>1428</v>
      </c>
      <c r="E275" s="18">
        <v>4</v>
      </c>
      <c r="F275" s="14">
        <v>34.99</v>
      </c>
      <c r="G275" s="14">
        <v>139.96</v>
      </c>
      <c r="H275" s="7" t="s">
        <v>941</v>
      </c>
      <c r="I275" s="7" t="s">
        <v>1058</v>
      </c>
      <c r="J275" s="7" t="s">
        <v>1084</v>
      </c>
      <c r="K275" s="7" t="str">
        <f>HYPERLINK("http://slimages.macys.com/is/image/MCY/18753171 ")</f>
        <v xml:space="preserve">http://slimages.macys.com/is/image/MCY/18753171 </v>
      </c>
    </row>
    <row r="276" spans="1:11" ht="20.100000000000001" customHeight="1" x14ac:dyDescent="0.25">
      <c r="A276" s="12" t="s">
        <v>1296</v>
      </c>
      <c r="B276" s="13">
        <v>13770172</v>
      </c>
      <c r="C276" s="8">
        <v>733002007875</v>
      </c>
      <c r="D276" s="6" t="s">
        <v>180</v>
      </c>
      <c r="E276" s="18">
        <v>2</v>
      </c>
      <c r="F276" s="14">
        <v>69.989999999999995</v>
      </c>
      <c r="G276" s="14">
        <v>139.97999999999999</v>
      </c>
      <c r="H276" s="7" t="s">
        <v>997</v>
      </c>
      <c r="I276" s="7" t="s">
        <v>956</v>
      </c>
      <c r="J276" s="7" t="s">
        <v>1109</v>
      </c>
      <c r="K276" s="7" t="str">
        <f>HYPERLINK("http://slimages.macys.com/is/image/MCY/18631905 ")</f>
        <v xml:space="preserve">http://slimages.macys.com/is/image/MCY/18631905 </v>
      </c>
    </row>
    <row r="277" spans="1:11" ht="20.100000000000001" customHeight="1" x14ac:dyDescent="0.25">
      <c r="A277" s="12" t="s">
        <v>1296</v>
      </c>
      <c r="B277" s="13">
        <v>13770172</v>
      </c>
      <c r="C277" s="8">
        <v>733002097692</v>
      </c>
      <c r="D277" s="6" t="s">
        <v>181</v>
      </c>
      <c r="E277" s="18">
        <v>2</v>
      </c>
      <c r="F277" s="14">
        <v>89.99</v>
      </c>
      <c r="G277" s="14">
        <v>179.98</v>
      </c>
      <c r="H277" s="7" t="s">
        <v>944</v>
      </c>
      <c r="I277" s="7" t="s">
        <v>956</v>
      </c>
      <c r="J277" s="7" t="s">
        <v>1014</v>
      </c>
      <c r="K277" s="7" t="str">
        <f>HYPERLINK("http://slimages.macys.com/is/image/MCY/18987413 ")</f>
        <v xml:space="preserve">http://slimages.macys.com/is/image/MCY/18987413 </v>
      </c>
    </row>
    <row r="278" spans="1:11" ht="20.100000000000001" customHeight="1" x14ac:dyDescent="0.25">
      <c r="A278" s="12" t="s">
        <v>1296</v>
      </c>
      <c r="B278" s="13">
        <v>13770172</v>
      </c>
      <c r="C278" s="8">
        <v>733002097937</v>
      </c>
      <c r="D278" s="6" t="s">
        <v>1382</v>
      </c>
      <c r="E278" s="18">
        <v>1</v>
      </c>
      <c r="F278" s="14">
        <v>199</v>
      </c>
      <c r="G278" s="14">
        <v>199</v>
      </c>
      <c r="H278" s="7" t="s">
        <v>941</v>
      </c>
      <c r="I278" s="7" t="s">
        <v>956</v>
      </c>
      <c r="J278" s="7" t="s">
        <v>1100</v>
      </c>
      <c r="K278" s="7" t="str">
        <f>HYPERLINK("http://slimages.macys.com/is/image/MCY/18987587 ")</f>
        <v xml:space="preserve">http://slimages.macys.com/is/image/MCY/18987587 </v>
      </c>
    </row>
    <row r="279" spans="1:11" ht="20.100000000000001" customHeight="1" x14ac:dyDescent="0.25">
      <c r="A279" s="12" t="s">
        <v>1296</v>
      </c>
      <c r="B279" s="13">
        <v>13770172</v>
      </c>
      <c r="C279" s="8">
        <v>733002270576</v>
      </c>
      <c r="D279" s="6" t="s">
        <v>182</v>
      </c>
      <c r="E279" s="18">
        <v>1</v>
      </c>
      <c r="F279" s="14">
        <v>119.99</v>
      </c>
      <c r="G279" s="14">
        <v>119.99</v>
      </c>
      <c r="H279" s="7" t="s">
        <v>952</v>
      </c>
      <c r="I279" s="7" t="s">
        <v>1097</v>
      </c>
      <c r="J279" s="7" t="s">
        <v>1098</v>
      </c>
      <c r="K279" s="7" t="str">
        <f>HYPERLINK("http://slimages.macys.com/is/image/MCY/18893290 ")</f>
        <v xml:space="preserve">http://slimages.macys.com/is/image/MCY/18893290 </v>
      </c>
    </row>
    <row r="280" spans="1:11" ht="20.100000000000001" customHeight="1" x14ac:dyDescent="0.25">
      <c r="A280" s="12" t="s">
        <v>1296</v>
      </c>
      <c r="B280" s="13">
        <v>13770172</v>
      </c>
      <c r="C280" s="8">
        <v>733002484799</v>
      </c>
      <c r="D280" s="6" t="s">
        <v>183</v>
      </c>
      <c r="E280" s="18">
        <v>1</v>
      </c>
      <c r="F280" s="14">
        <v>29.99</v>
      </c>
      <c r="G280" s="14">
        <v>29.99</v>
      </c>
      <c r="H280" s="7" t="s">
        <v>950</v>
      </c>
      <c r="I280" s="7" t="s">
        <v>1097</v>
      </c>
      <c r="J280" s="7" t="s">
        <v>1098</v>
      </c>
      <c r="K280" s="7" t="str">
        <f>HYPERLINK("http://slimages.macys.com/is/image/MCY/18513758 ")</f>
        <v xml:space="preserve">http://slimages.macys.com/is/image/MCY/18513758 </v>
      </c>
    </row>
    <row r="281" spans="1:11" ht="20.100000000000001" customHeight="1" x14ac:dyDescent="0.25">
      <c r="A281" s="12" t="s">
        <v>1296</v>
      </c>
      <c r="B281" s="13">
        <v>13770172</v>
      </c>
      <c r="C281" s="8">
        <v>733002490301</v>
      </c>
      <c r="D281" s="6" t="s">
        <v>184</v>
      </c>
      <c r="E281" s="18">
        <v>1</v>
      </c>
      <c r="F281" s="14">
        <v>89.99</v>
      </c>
      <c r="G281" s="14">
        <v>89.99</v>
      </c>
      <c r="H281" s="7" t="s">
        <v>1023</v>
      </c>
      <c r="I281" s="7" t="s">
        <v>1046</v>
      </c>
      <c r="J281" s="7" t="s">
        <v>1047</v>
      </c>
      <c r="K281" s="7" t="str">
        <f>HYPERLINK("http://slimages.macys.com/is/image/MCY/18831777 ")</f>
        <v xml:space="preserve">http://slimages.macys.com/is/image/MCY/18831777 </v>
      </c>
    </row>
    <row r="282" spans="1:11" ht="20.100000000000001" customHeight="1" x14ac:dyDescent="0.25">
      <c r="A282" s="12" t="s">
        <v>1296</v>
      </c>
      <c r="B282" s="13">
        <v>13770172</v>
      </c>
      <c r="C282" s="8">
        <v>733002506545</v>
      </c>
      <c r="D282" s="6" t="s">
        <v>791</v>
      </c>
      <c r="E282" s="18">
        <v>1</v>
      </c>
      <c r="F282" s="14">
        <v>249.99</v>
      </c>
      <c r="G282" s="14">
        <v>249.99</v>
      </c>
      <c r="H282" s="7" t="s">
        <v>941</v>
      </c>
      <c r="I282" s="7" t="s">
        <v>956</v>
      </c>
      <c r="J282" s="7" t="s">
        <v>1100</v>
      </c>
      <c r="K282" s="7" t="str">
        <f>HYPERLINK("http://slimages.macys.com/is/image/MCY/19021243 ")</f>
        <v xml:space="preserve">http://slimages.macys.com/is/image/MCY/19021243 </v>
      </c>
    </row>
    <row r="283" spans="1:11" ht="20.100000000000001" customHeight="1" x14ac:dyDescent="0.25">
      <c r="A283" s="12" t="s">
        <v>1296</v>
      </c>
      <c r="B283" s="13">
        <v>13770172</v>
      </c>
      <c r="C283" s="8">
        <v>733002506545</v>
      </c>
      <c r="D283" s="6" t="s">
        <v>791</v>
      </c>
      <c r="E283" s="18">
        <v>1</v>
      </c>
      <c r="F283" s="14">
        <v>249.99</v>
      </c>
      <c r="G283" s="14">
        <v>249.99</v>
      </c>
      <c r="H283" s="7" t="s">
        <v>941</v>
      </c>
      <c r="I283" s="7" t="s">
        <v>956</v>
      </c>
      <c r="J283" s="7" t="s">
        <v>1100</v>
      </c>
      <c r="K283" s="7" t="str">
        <f>HYPERLINK("http://slimages.macys.com/is/image/MCY/19021243 ")</f>
        <v xml:space="preserve">http://slimages.macys.com/is/image/MCY/19021243 </v>
      </c>
    </row>
    <row r="284" spans="1:11" ht="20.100000000000001" customHeight="1" x14ac:dyDescent="0.25">
      <c r="A284" s="12" t="s">
        <v>1296</v>
      </c>
      <c r="B284" s="13">
        <v>13770172</v>
      </c>
      <c r="C284" s="8">
        <v>733002506620</v>
      </c>
      <c r="D284" s="6" t="s">
        <v>185</v>
      </c>
      <c r="E284" s="18">
        <v>1</v>
      </c>
      <c r="F284" s="14">
        <v>79.989999999999995</v>
      </c>
      <c r="G284" s="14">
        <v>79.989999999999995</v>
      </c>
      <c r="H284" s="7" t="s">
        <v>941</v>
      </c>
      <c r="I284" s="7" t="s">
        <v>956</v>
      </c>
      <c r="J284" s="7" t="s">
        <v>1100</v>
      </c>
      <c r="K284" s="7" t="str">
        <f>HYPERLINK("http://slimages.macys.com/is/image/MCY/12355192 ")</f>
        <v xml:space="preserve">http://slimages.macys.com/is/image/MCY/12355192 </v>
      </c>
    </row>
    <row r="285" spans="1:11" ht="20.100000000000001" customHeight="1" x14ac:dyDescent="0.25">
      <c r="A285" s="12" t="s">
        <v>1296</v>
      </c>
      <c r="B285" s="13">
        <v>13770172</v>
      </c>
      <c r="C285" s="8">
        <v>733002506620</v>
      </c>
      <c r="D285" s="6" t="s">
        <v>185</v>
      </c>
      <c r="E285" s="18">
        <v>1</v>
      </c>
      <c r="F285" s="14">
        <v>79.989999999999995</v>
      </c>
      <c r="G285" s="14">
        <v>79.989999999999995</v>
      </c>
      <c r="H285" s="7" t="s">
        <v>941</v>
      </c>
      <c r="I285" s="7" t="s">
        <v>956</v>
      </c>
      <c r="J285" s="7" t="s">
        <v>1100</v>
      </c>
      <c r="K285" s="7" t="str">
        <f>HYPERLINK("http://slimages.macys.com/is/image/MCY/12355192 ")</f>
        <v xml:space="preserve">http://slimages.macys.com/is/image/MCY/12355192 </v>
      </c>
    </row>
    <row r="286" spans="1:11" ht="20.100000000000001" customHeight="1" x14ac:dyDescent="0.25">
      <c r="A286" s="12" t="s">
        <v>1296</v>
      </c>
      <c r="B286" s="13">
        <v>13770172</v>
      </c>
      <c r="C286" s="8">
        <v>733002640539</v>
      </c>
      <c r="D286" s="6" t="s">
        <v>186</v>
      </c>
      <c r="E286" s="18">
        <v>1</v>
      </c>
      <c r="F286" s="14">
        <v>119.99</v>
      </c>
      <c r="G286" s="14">
        <v>119.99</v>
      </c>
      <c r="H286" s="7" t="s">
        <v>941</v>
      </c>
      <c r="I286" s="7" t="s">
        <v>969</v>
      </c>
      <c r="J286" s="7" t="s">
        <v>1233</v>
      </c>
      <c r="K286" s="7" t="str">
        <f>HYPERLINK("http://slimages.macys.com/is/image/MCY/18917152 ")</f>
        <v xml:space="preserve">http://slimages.macys.com/is/image/MCY/18917152 </v>
      </c>
    </row>
    <row r="287" spans="1:11" ht="20.100000000000001" customHeight="1" x14ac:dyDescent="0.25">
      <c r="A287" s="12" t="s">
        <v>1296</v>
      </c>
      <c r="B287" s="13">
        <v>13770172</v>
      </c>
      <c r="C287" s="8">
        <v>733002875443</v>
      </c>
      <c r="D287" s="6" t="s">
        <v>1384</v>
      </c>
      <c r="E287" s="18">
        <v>1</v>
      </c>
      <c r="F287" s="14">
        <v>199.99</v>
      </c>
      <c r="G287" s="14">
        <v>199.99</v>
      </c>
      <c r="H287" s="7" t="s">
        <v>941</v>
      </c>
      <c r="I287" s="7" t="s">
        <v>956</v>
      </c>
      <c r="J287" s="7" t="s">
        <v>1109</v>
      </c>
      <c r="K287" s="7" t="str">
        <f>HYPERLINK("http://slimages.macys.com/is/image/MCY/19338078 ")</f>
        <v xml:space="preserve">http://slimages.macys.com/is/image/MCY/19338078 </v>
      </c>
    </row>
    <row r="288" spans="1:11" ht="20.100000000000001" customHeight="1" x14ac:dyDescent="0.25">
      <c r="A288" s="12" t="s">
        <v>1296</v>
      </c>
      <c r="B288" s="13">
        <v>13770172</v>
      </c>
      <c r="C288" s="8">
        <v>733003963606</v>
      </c>
      <c r="D288" s="6" t="s">
        <v>187</v>
      </c>
      <c r="E288" s="18">
        <v>1</v>
      </c>
      <c r="F288" s="14">
        <v>49.99</v>
      </c>
      <c r="G288" s="14">
        <v>49.99</v>
      </c>
      <c r="H288" s="7" t="s">
        <v>941</v>
      </c>
      <c r="I288" s="7" t="s">
        <v>1097</v>
      </c>
      <c r="J288" s="7" t="s">
        <v>1098</v>
      </c>
      <c r="K288" s="7" t="str">
        <f>HYPERLINK("http://slimages.macys.com/is/image/MCY/862794 ")</f>
        <v xml:space="preserve">http://slimages.macys.com/is/image/MCY/862794 </v>
      </c>
    </row>
    <row r="289" spans="1:11" ht="20.100000000000001" customHeight="1" x14ac:dyDescent="0.25">
      <c r="A289" s="12" t="s">
        <v>1296</v>
      </c>
      <c r="B289" s="13">
        <v>13770172</v>
      </c>
      <c r="C289" s="8">
        <v>733004163814</v>
      </c>
      <c r="D289" s="6" t="s">
        <v>188</v>
      </c>
      <c r="E289" s="18">
        <v>1</v>
      </c>
      <c r="F289" s="14">
        <v>99.99</v>
      </c>
      <c r="G289" s="14">
        <v>99.99</v>
      </c>
      <c r="H289" s="7" t="s">
        <v>997</v>
      </c>
      <c r="I289" s="7" t="s">
        <v>956</v>
      </c>
      <c r="J289" s="7" t="s">
        <v>957</v>
      </c>
      <c r="K289" s="7" t="str">
        <f>HYPERLINK("http://slimages.macys.com/is/image/MCY/916721 ")</f>
        <v xml:space="preserve">http://slimages.macys.com/is/image/MCY/916721 </v>
      </c>
    </row>
    <row r="290" spans="1:11" ht="20.100000000000001" customHeight="1" x14ac:dyDescent="0.25">
      <c r="A290" s="12" t="s">
        <v>1296</v>
      </c>
      <c r="B290" s="13">
        <v>13770172</v>
      </c>
      <c r="C290" s="8">
        <v>733004832550</v>
      </c>
      <c r="D290" s="6" t="s">
        <v>1404</v>
      </c>
      <c r="E290" s="18">
        <v>1</v>
      </c>
      <c r="F290" s="14">
        <v>99.99</v>
      </c>
      <c r="G290" s="14">
        <v>99.99</v>
      </c>
      <c r="H290" s="7" t="s">
        <v>950</v>
      </c>
      <c r="I290" s="7" t="s">
        <v>1332</v>
      </c>
      <c r="J290" s="7" t="s">
        <v>1353</v>
      </c>
      <c r="K290" s="7" t="str">
        <f>HYPERLINK("http://slimages.macys.com/is/image/MCY/1106881 ")</f>
        <v xml:space="preserve">http://slimages.macys.com/is/image/MCY/1106881 </v>
      </c>
    </row>
    <row r="291" spans="1:11" ht="20.100000000000001" customHeight="1" x14ac:dyDescent="0.25">
      <c r="A291" s="12" t="s">
        <v>1296</v>
      </c>
      <c r="B291" s="13">
        <v>13770172</v>
      </c>
      <c r="C291" s="8">
        <v>733004832550</v>
      </c>
      <c r="D291" s="6" t="s">
        <v>1404</v>
      </c>
      <c r="E291" s="18">
        <v>1</v>
      </c>
      <c r="F291" s="14">
        <v>99.99</v>
      </c>
      <c r="G291" s="14">
        <v>99.99</v>
      </c>
      <c r="H291" s="7" t="s">
        <v>950</v>
      </c>
      <c r="I291" s="7" t="s">
        <v>1332</v>
      </c>
      <c r="J291" s="7" t="s">
        <v>1353</v>
      </c>
      <c r="K291" s="7" t="str">
        <f>HYPERLINK("http://slimages.macys.com/is/image/MCY/1106881 ")</f>
        <v xml:space="preserve">http://slimages.macys.com/is/image/MCY/1106881 </v>
      </c>
    </row>
    <row r="292" spans="1:11" ht="20.100000000000001" customHeight="1" x14ac:dyDescent="0.25">
      <c r="A292" s="12" t="s">
        <v>1296</v>
      </c>
      <c r="B292" s="13">
        <v>13770172</v>
      </c>
      <c r="C292" s="8">
        <v>734737485655</v>
      </c>
      <c r="D292" s="6" t="s">
        <v>1385</v>
      </c>
      <c r="E292" s="18">
        <v>1</v>
      </c>
      <c r="F292" s="14">
        <v>49.99</v>
      </c>
      <c r="G292" s="14">
        <v>49.99</v>
      </c>
      <c r="H292" s="7" t="s">
        <v>950</v>
      </c>
      <c r="I292" s="7" t="s">
        <v>945</v>
      </c>
      <c r="J292" s="7" t="s">
        <v>974</v>
      </c>
      <c r="K292" s="7" t="str">
        <f>HYPERLINK("http://slimages.macys.com/is/image/MCY/8347198 ")</f>
        <v xml:space="preserve">http://slimages.macys.com/is/image/MCY/8347198 </v>
      </c>
    </row>
    <row r="293" spans="1:11" ht="20.100000000000001" customHeight="1" x14ac:dyDescent="0.25">
      <c r="A293" s="12" t="s">
        <v>1296</v>
      </c>
      <c r="B293" s="13">
        <v>13770172</v>
      </c>
      <c r="C293" s="8">
        <v>734737485662</v>
      </c>
      <c r="D293" s="6" t="s">
        <v>189</v>
      </c>
      <c r="E293" s="18">
        <v>1</v>
      </c>
      <c r="F293" s="14">
        <v>49.99</v>
      </c>
      <c r="G293" s="14">
        <v>49.99</v>
      </c>
      <c r="H293" s="7" t="s">
        <v>950</v>
      </c>
      <c r="I293" s="7" t="s">
        <v>945</v>
      </c>
      <c r="J293" s="7" t="s">
        <v>974</v>
      </c>
      <c r="K293" s="7" t="str">
        <f>HYPERLINK("http://slimages.macys.com/is/image/MCY/8347198 ")</f>
        <v xml:space="preserve">http://slimages.macys.com/is/image/MCY/8347198 </v>
      </c>
    </row>
    <row r="294" spans="1:11" ht="20.100000000000001" customHeight="1" x14ac:dyDescent="0.25">
      <c r="A294" s="12" t="s">
        <v>1296</v>
      </c>
      <c r="B294" s="13">
        <v>13770172</v>
      </c>
      <c r="C294" s="8">
        <v>734737506947</v>
      </c>
      <c r="D294" s="6" t="s">
        <v>190</v>
      </c>
      <c r="E294" s="18">
        <v>1</v>
      </c>
      <c r="F294" s="14">
        <v>49.99</v>
      </c>
      <c r="G294" s="14">
        <v>49.99</v>
      </c>
      <c r="H294" s="7" t="s">
        <v>987</v>
      </c>
      <c r="I294" s="7" t="s">
        <v>945</v>
      </c>
      <c r="J294" s="7" t="s">
        <v>974</v>
      </c>
      <c r="K294" s="7" t="str">
        <f>HYPERLINK("http://slimages.macys.com/is/image/MCY/8347198 ")</f>
        <v xml:space="preserve">http://slimages.macys.com/is/image/MCY/8347198 </v>
      </c>
    </row>
    <row r="295" spans="1:11" ht="20.100000000000001" customHeight="1" x14ac:dyDescent="0.25">
      <c r="A295" s="12" t="s">
        <v>1296</v>
      </c>
      <c r="B295" s="13">
        <v>13770172</v>
      </c>
      <c r="C295" s="8">
        <v>734737532731</v>
      </c>
      <c r="D295" s="6" t="s">
        <v>1181</v>
      </c>
      <c r="E295" s="18">
        <v>3</v>
      </c>
      <c r="F295" s="14">
        <v>49.99</v>
      </c>
      <c r="G295" s="14">
        <v>149.97</v>
      </c>
      <c r="H295" s="7" t="s">
        <v>941</v>
      </c>
      <c r="I295" s="7" t="s">
        <v>945</v>
      </c>
      <c r="J295" s="7" t="s">
        <v>974</v>
      </c>
      <c r="K295" s="7" t="str">
        <f>HYPERLINK("http://slimages.macys.com/is/image/MCY/9330026 ")</f>
        <v xml:space="preserve">http://slimages.macys.com/is/image/MCY/9330026 </v>
      </c>
    </row>
    <row r="296" spans="1:11" ht="20.100000000000001" customHeight="1" x14ac:dyDescent="0.25">
      <c r="A296" s="12" t="s">
        <v>1296</v>
      </c>
      <c r="B296" s="13">
        <v>13770172</v>
      </c>
      <c r="C296" s="8">
        <v>734737552395</v>
      </c>
      <c r="D296" s="6" t="s">
        <v>1043</v>
      </c>
      <c r="E296" s="18">
        <v>1</v>
      </c>
      <c r="F296" s="14">
        <v>29.99</v>
      </c>
      <c r="G296" s="14">
        <v>29.99</v>
      </c>
      <c r="H296" s="7" t="s">
        <v>984</v>
      </c>
      <c r="I296" s="7" t="s">
        <v>945</v>
      </c>
      <c r="J296" s="7" t="s">
        <v>974</v>
      </c>
      <c r="K296" s="7" t="str">
        <f>HYPERLINK("http://slimages.macys.com/is/image/MCY/9700679 ")</f>
        <v xml:space="preserve">http://slimages.macys.com/is/image/MCY/9700679 </v>
      </c>
    </row>
    <row r="297" spans="1:11" ht="20.100000000000001" customHeight="1" x14ac:dyDescent="0.25">
      <c r="A297" s="12" t="s">
        <v>1296</v>
      </c>
      <c r="B297" s="13">
        <v>13770172</v>
      </c>
      <c r="C297" s="8">
        <v>734737581500</v>
      </c>
      <c r="D297" s="6" t="s">
        <v>802</v>
      </c>
      <c r="E297" s="18">
        <v>1</v>
      </c>
      <c r="F297" s="14">
        <v>49.99</v>
      </c>
      <c r="G297" s="14">
        <v>49.99</v>
      </c>
      <c r="H297" s="7" t="s">
        <v>984</v>
      </c>
      <c r="I297" s="7" t="s">
        <v>945</v>
      </c>
      <c r="J297" s="7" t="s">
        <v>974</v>
      </c>
      <c r="K297" s="7" t="str">
        <f>HYPERLINK("http://slimages.macys.com/is/image/MCY/17814309 ")</f>
        <v xml:space="preserve">http://slimages.macys.com/is/image/MCY/17814309 </v>
      </c>
    </row>
    <row r="298" spans="1:11" ht="20.100000000000001" customHeight="1" x14ac:dyDescent="0.25">
      <c r="A298" s="12" t="s">
        <v>1296</v>
      </c>
      <c r="B298" s="13">
        <v>13770172</v>
      </c>
      <c r="C298" s="8">
        <v>734737635586</v>
      </c>
      <c r="D298" s="6" t="s">
        <v>191</v>
      </c>
      <c r="E298" s="18">
        <v>1</v>
      </c>
      <c r="F298" s="14">
        <v>49.99</v>
      </c>
      <c r="G298" s="14">
        <v>49.99</v>
      </c>
      <c r="H298" s="7" t="s">
        <v>987</v>
      </c>
      <c r="I298" s="7" t="s">
        <v>945</v>
      </c>
      <c r="J298" s="7" t="s">
        <v>974</v>
      </c>
      <c r="K298" s="7" t="str">
        <f>HYPERLINK("http://slimages.macys.com/is/image/MCY/16688639 ")</f>
        <v xml:space="preserve">http://slimages.macys.com/is/image/MCY/16688639 </v>
      </c>
    </row>
    <row r="299" spans="1:11" ht="20.100000000000001" customHeight="1" x14ac:dyDescent="0.25">
      <c r="A299" s="12" t="s">
        <v>1296</v>
      </c>
      <c r="B299" s="13">
        <v>13770172</v>
      </c>
      <c r="C299" s="8">
        <v>734737635623</v>
      </c>
      <c r="D299" s="6" t="s">
        <v>192</v>
      </c>
      <c r="E299" s="18">
        <v>1</v>
      </c>
      <c r="F299" s="14">
        <v>49.99</v>
      </c>
      <c r="G299" s="14">
        <v>49.99</v>
      </c>
      <c r="H299" s="7" t="s">
        <v>987</v>
      </c>
      <c r="I299" s="7" t="s">
        <v>945</v>
      </c>
      <c r="J299" s="7" t="s">
        <v>974</v>
      </c>
      <c r="K299" s="7" t="str">
        <f>HYPERLINK("http://slimages.macys.com/is/image/MCY/16688656 ")</f>
        <v xml:space="preserve">http://slimages.macys.com/is/image/MCY/16688656 </v>
      </c>
    </row>
    <row r="300" spans="1:11" ht="20.100000000000001" customHeight="1" x14ac:dyDescent="0.25">
      <c r="A300" s="12" t="s">
        <v>1296</v>
      </c>
      <c r="B300" s="13">
        <v>13770172</v>
      </c>
      <c r="C300" s="8">
        <v>734737637429</v>
      </c>
      <c r="D300" s="6" t="s">
        <v>1086</v>
      </c>
      <c r="E300" s="18">
        <v>1</v>
      </c>
      <c r="F300" s="14">
        <v>49.99</v>
      </c>
      <c r="G300" s="14">
        <v>49.99</v>
      </c>
      <c r="H300" s="7" t="s">
        <v>952</v>
      </c>
      <c r="I300" s="7" t="s">
        <v>939</v>
      </c>
      <c r="J300" s="7" t="s">
        <v>974</v>
      </c>
      <c r="K300" s="7" t="str">
        <f>HYPERLINK("http://slimages.macys.com/is/image/MCY/17191784 ")</f>
        <v xml:space="preserve">http://slimages.macys.com/is/image/MCY/17191784 </v>
      </c>
    </row>
    <row r="301" spans="1:11" ht="20.100000000000001" customHeight="1" x14ac:dyDescent="0.25">
      <c r="A301" s="12" t="s">
        <v>1296</v>
      </c>
      <c r="B301" s="13">
        <v>13770172</v>
      </c>
      <c r="C301" s="8">
        <v>734737671751</v>
      </c>
      <c r="D301" s="6" t="s">
        <v>193</v>
      </c>
      <c r="E301" s="18">
        <v>1</v>
      </c>
      <c r="F301" s="14">
        <v>59.99</v>
      </c>
      <c r="G301" s="14">
        <v>59.99</v>
      </c>
      <c r="H301" s="7" t="s">
        <v>987</v>
      </c>
      <c r="I301" s="7" t="s">
        <v>945</v>
      </c>
      <c r="J301" s="7" t="s">
        <v>974</v>
      </c>
      <c r="K301" s="7" t="str">
        <f>HYPERLINK("http://slimages.macys.com/is/image/MCY/18592449 ")</f>
        <v xml:space="preserve">http://slimages.macys.com/is/image/MCY/18592449 </v>
      </c>
    </row>
    <row r="302" spans="1:11" ht="20.100000000000001" customHeight="1" x14ac:dyDescent="0.25">
      <c r="A302" s="12" t="s">
        <v>1296</v>
      </c>
      <c r="B302" s="13">
        <v>13770172</v>
      </c>
      <c r="C302" s="8">
        <v>734737671843</v>
      </c>
      <c r="D302" s="6" t="s">
        <v>194</v>
      </c>
      <c r="E302" s="18">
        <v>1</v>
      </c>
      <c r="F302" s="14">
        <v>179.99</v>
      </c>
      <c r="G302" s="14">
        <v>179.99</v>
      </c>
      <c r="H302" s="7" t="s">
        <v>941</v>
      </c>
      <c r="I302" s="7" t="s">
        <v>945</v>
      </c>
      <c r="J302" s="7" t="s">
        <v>974</v>
      </c>
      <c r="K302" s="7" t="str">
        <f>HYPERLINK("http://slimages.macys.com/is/image/MCY/18968659 ")</f>
        <v xml:space="preserve">http://slimages.macys.com/is/image/MCY/18968659 </v>
      </c>
    </row>
    <row r="303" spans="1:11" ht="20.100000000000001" customHeight="1" x14ac:dyDescent="0.25">
      <c r="A303" s="12" t="s">
        <v>1296</v>
      </c>
      <c r="B303" s="13">
        <v>13770172</v>
      </c>
      <c r="C303" s="8">
        <v>734737674769</v>
      </c>
      <c r="D303" s="6" t="s">
        <v>195</v>
      </c>
      <c r="E303" s="18">
        <v>1</v>
      </c>
      <c r="F303" s="14">
        <v>17.989999999999998</v>
      </c>
      <c r="G303" s="14">
        <v>17.989999999999998</v>
      </c>
      <c r="H303" s="7" t="s">
        <v>985</v>
      </c>
      <c r="I303" s="7" t="s">
        <v>1033</v>
      </c>
      <c r="J303" s="7" t="s">
        <v>1133</v>
      </c>
      <c r="K303" s="7" t="str">
        <f>HYPERLINK("http://slimages.macys.com/is/image/MCY/18951132 ")</f>
        <v xml:space="preserve">http://slimages.macys.com/is/image/MCY/18951132 </v>
      </c>
    </row>
    <row r="304" spans="1:11" ht="20.100000000000001" customHeight="1" x14ac:dyDescent="0.25">
      <c r="A304" s="12" t="s">
        <v>1296</v>
      </c>
      <c r="B304" s="13">
        <v>13770172</v>
      </c>
      <c r="C304" s="8">
        <v>734737678170</v>
      </c>
      <c r="D304" s="6" t="s">
        <v>196</v>
      </c>
      <c r="E304" s="18">
        <v>3</v>
      </c>
      <c r="F304" s="14">
        <v>17.989999999999998</v>
      </c>
      <c r="G304" s="14">
        <v>53.97</v>
      </c>
      <c r="H304" s="7" t="s">
        <v>952</v>
      </c>
      <c r="I304" s="7" t="s">
        <v>1033</v>
      </c>
      <c r="J304" s="7" t="s">
        <v>1133</v>
      </c>
      <c r="K304" s="7" t="str">
        <f>HYPERLINK("http://slimages.macys.com/is/image/MCY/18953762 ")</f>
        <v xml:space="preserve">http://slimages.macys.com/is/image/MCY/18953762 </v>
      </c>
    </row>
    <row r="305" spans="1:11" ht="20.100000000000001" customHeight="1" x14ac:dyDescent="0.25">
      <c r="A305" s="12" t="s">
        <v>1296</v>
      </c>
      <c r="B305" s="13">
        <v>13770172</v>
      </c>
      <c r="C305" s="8">
        <v>734737681644</v>
      </c>
      <c r="D305" s="6" t="s">
        <v>197</v>
      </c>
      <c r="E305" s="18">
        <v>1</v>
      </c>
      <c r="F305" s="14">
        <v>29.99</v>
      </c>
      <c r="G305" s="14">
        <v>29.99</v>
      </c>
      <c r="H305" s="7" t="s">
        <v>987</v>
      </c>
      <c r="I305" s="7" t="s">
        <v>945</v>
      </c>
      <c r="J305" s="7" t="s">
        <v>974</v>
      </c>
      <c r="K305" s="7" t="str">
        <f>HYPERLINK("http://slimages.macys.com/is/image/MCY/19066956 ")</f>
        <v xml:space="preserve">http://slimages.macys.com/is/image/MCY/19066956 </v>
      </c>
    </row>
    <row r="306" spans="1:11" ht="20.100000000000001" customHeight="1" x14ac:dyDescent="0.25">
      <c r="A306" s="12" t="s">
        <v>1296</v>
      </c>
      <c r="B306" s="13">
        <v>13770172</v>
      </c>
      <c r="C306" s="8">
        <v>735732011566</v>
      </c>
      <c r="D306" s="6" t="s">
        <v>1325</v>
      </c>
      <c r="E306" s="18">
        <v>1</v>
      </c>
      <c r="F306" s="14">
        <v>9.99</v>
      </c>
      <c r="G306" s="14">
        <v>9.99</v>
      </c>
      <c r="H306" s="7" t="s">
        <v>952</v>
      </c>
      <c r="I306" s="7" t="s">
        <v>947</v>
      </c>
      <c r="J306" s="7" t="s">
        <v>1244</v>
      </c>
      <c r="K306" s="7" t="str">
        <f>HYPERLINK("http://slimages.macys.com/is/image/MCY/18989546 ")</f>
        <v xml:space="preserve">http://slimages.macys.com/is/image/MCY/18989546 </v>
      </c>
    </row>
    <row r="307" spans="1:11" ht="20.100000000000001" customHeight="1" x14ac:dyDescent="0.25">
      <c r="A307" s="12" t="s">
        <v>1296</v>
      </c>
      <c r="B307" s="13">
        <v>13770172</v>
      </c>
      <c r="C307" s="8">
        <v>735732053597</v>
      </c>
      <c r="D307" s="6" t="s">
        <v>1386</v>
      </c>
      <c r="E307" s="18">
        <v>1</v>
      </c>
      <c r="F307" s="14">
        <v>62.99</v>
      </c>
      <c r="G307" s="14">
        <v>62.99</v>
      </c>
      <c r="H307" s="7" t="s">
        <v>997</v>
      </c>
      <c r="I307" s="7" t="s">
        <v>947</v>
      </c>
      <c r="J307" s="7" t="s">
        <v>1244</v>
      </c>
      <c r="K307" s="7" t="str">
        <f>HYPERLINK("http://slimages.macys.com/is/image/MCY/11923045 ")</f>
        <v xml:space="preserve">http://slimages.macys.com/is/image/MCY/11923045 </v>
      </c>
    </row>
    <row r="308" spans="1:11" ht="20.100000000000001" customHeight="1" x14ac:dyDescent="0.25">
      <c r="A308" s="12" t="s">
        <v>1296</v>
      </c>
      <c r="B308" s="13">
        <v>13770172</v>
      </c>
      <c r="C308" s="8">
        <v>735732103889</v>
      </c>
      <c r="D308" s="6" t="s">
        <v>198</v>
      </c>
      <c r="E308" s="18">
        <v>1</v>
      </c>
      <c r="F308" s="14">
        <v>86.99</v>
      </c>
      <c r="G308" s="14">
        <v>86.99</v>
      </c>
      <c r="H308" s="7" t="s">
        <v>1016</v>
      </c>
      <c r="I308" s="7" t="s">
        <v>945</v>
      </c>
      <c r="J308" s="7" t="s">
        <v>1170</v>
      </c>
      <c r="K308" s="7" t="str">
        <f>HYPERLINK("http://slimages.macys.com/is/image/MCY/10290998 ")</f>
        <v xml:space="preserve">http://slimages.macys.com/is/image/MCY/10290998 </v>
      </c>
    </row>
    <row r="309" spans="1:11" ht="20.100000000000001" customHeight="1" x14ac:dyDescent="0.25">
      <c r="A309" s="12" t="s">
        <v>1296</v>
      </c>
      <c r="B309" s="13">
        <v>13770172</v>
      </c>
      <c r="C309" s="8">
        <v>735732907517</v>
      </c>
      <c r="D309" s="6" t="s">
        <v>199</v>
      </c>
      <c r="E309" s="18">
        <v>1</v>
      </c>
      <c r="F309" s="14">
        <v>57.99</v>
      </c>
      <c r="G309" s="14">
        <v>57.99</v>
      </c>
      <c r="H309" s="7" t="s">
        <v>944</v>
      </c>
      <c r="I309" s="7" t="s">
        <v>945</v>
      </c>
      <c r="J309" s="7" t="s">
        <v>1170</v>
      </c>
      <c r="K309" s="7" t="str">
        <f>HYPERLINK("http://slimages.macys.com/is/image/MCY/10290998 ")</f>
        <v xml:space="preserve">http://slimages.macys.com/is/image/MCY/10290998 </v>
      </c>
    </row>
    <row r="310" spans="1:11" ht="20.100000000000001" customHeight="1" x14ac:dyDescent="0.25">
      <c r="A310" s="12" t="s">
        <v>1296</v>
      </c>
      <c r="B310" s="13">
        <v>13770172</v>
      </c>
      <c r="C310" s="8">
        <v>735837077498</v>
      </c>
      <c r="D310" s="6" t="s">
        <v>1326</v>
      </c>
      <c r="E310" s="18">
        <v>1</v>
      </c>
      <c r="F310" s="14">
        <v>109.99</v>
      </c>
      <c r="G310" s="14">
        <v>109.99</v>
      </c>
      <c r="H310" s="7" t="s">
        <v>994</v>
      </c>
      <c r="I310" s="7" t="s">
        <v>1058</v>
      </c>
      <c r="J310" s="7" t="s">
        <v>1129</v>
      </c>
      <c r="K310" s="7" t="str">
        <f>HYPERLINK("http://slimages.macys.com/is/image/MCY/1067172 ")</f>
        <v xml:space="preserve">http://slimages.macys.com/is/image/MCY/1067172 </v>
      </c>
    </row>
    <row r="311" spans="1:11" ht="20.100000000000001" customHeight="1" x14ac:dyDescent="0.25">
      <c r="A311" s="12" t="s">
        <v>1296</v>
      </c>
      <c r="B311" s="13">
        <v>13770172</v>
      </c>
      <c r="C311" s="8">
        <v>735837086346</v>
      </c>
      <c r="D311" s="6" t="s">
        <v>1178</v>
      </c>
      <c r="E311" s="18">
        <v>1</v>
      </c>
      <c r="F311" s="14">
        <v>94.99</v>
      </c>
      <c r="G311" s="14">
        <v>94.99</v>
      </c>
      <c r="H311" s="7" t="s">
        <v>952</v>
      </c>
      <c r="I311" s="7" t="s">
        <v>1058</v>
      </c>
      <c r="J311" s="7" t="s">
        <v>1129</v>
      </c>
      <c r="K311" s="7" t="str">
        <f>HYPERLINK("http://slimages.macys.com/is/image/MCY/13121400 ")</f>
        <v xml:space="preserve">http://slimages.macys.com/is/image/MCY/13121400 </v>
      </c>
    </row>
    <row r="312" spans="1:11" ht="20.100000000000001" customHeight="1" x14ac:dyDescent="0.25">
      <c r="A312" s="12" t="s">
        <v>1296</v>
      </c>
      <c r="B312" s="13">
        <v>13770172</v>
      </c>
      <c r="C312" s="8">
        <v>735837574232</v>
      </c>
      <c r="D312" s="6" t="s">
        <v>1387</v>
      </c>
      <c r="E312" s="18">
        <v>1</v>
      </c>
      <c r="F312" s="14">
        <v>179.99</v>
      </c>
      <c r="G312" s="14">
        <v>179.99</v>
      </c>
      <c r="H312" s="7" t="s">
        <v>941</v>
      </c>
      <c r="I312" s="7" t="s">
        <v>1058</v>
      </c>
      <c r="J312" s="7" t="s">
        <v>1129</v>
      </c>
      <c r="K312" s="7" t="str">
        <f>HYPERLINK("http://slimages.macys.com/is/image/MCY/3962581 ")</f>
        <v xml:space="preserve">http://slimages.macys.com/is/image/MCY/3962581 </v>
      </c>
    </row>
    <row r="313" spans="1:11" ht="20.100000000000001" customHeight="1" x14ac:dyDescent="0.25">
      <c r="A313" s="12" t="s">
        <v>1296</v>
      </c>
      <c r="B313" s="13">
        <v>13770172</v>
      </c>
      <c r="C313" s="8">
        <v>735837576410</v>
      </c>
      <c r="D313" s="6" t="s">
        <v>1307</v>
      </c>
      <c r="E313" s="18">
        <v>1</v>
      </c>
      <c r="F313" s="14">
        <v>41.99</v>
      </c>
      <c r="G313" s="14">
        <v>41.99</v>
      </c>
      <c r="H313" s="7" t="s">
        <v>941</v>
      </c>
      <c r="I313" s="7" t="s">
        <v>1011</v>
      </c>
      <c r="J313" s="7" t="s">
        <v>1042</v>
      </c>
      <c r="K313" s="7" t="str">
        <f>HYPERLINK("http://slimages.macys.com/is/image/MCY/9489266 ")</f>
        <v xml:space="preserve">http://slimages.macys.com/is/image/MCY/9489266 </v>
      </c>
    </row>
    <row r="314" spans="1:11" ht="20.100000000000001" customHeight="1" x14ac:dyDescent="0.25">
      <c r="A314" s="12" t="s">
        <v>1296</v>
      </c>
      <c r="B314" s="13">
        <v>13770172</v>
      </c>
      <c r="C314" s="8">
        <v>738980885637</v>
      </c>
      <c r="D314" s="6" t="s">
        <v>200</v>
      </c>
      <c r="E314" s="18">
        <v>1</v>
      </c>
      <c r="F314" s="14">
        <v>13.99</v>
      </c>
      <c r="G314" s="14">
        <v>13.99</v>
      </c>
      <c r="H314" s="7" t="s">
        <v>1054</v>
      </c>
      <c r="I314" s="7" t="s">
        <v>958</v>
      </c>
      <c r="J314" s="7" t="s">
        <v>1089</v>
      </c>
      <c r="K314" s="7" t="str">
        <f>HYPERLINK("http://slimages.macys.com/is/image/MCY/15254759 ")</f>
        <v xml:space="preserve">http://slimages.macys.com/is/image/MCY/15254759 </v>
      </c>
    </row>
    <row r="315" spans="1:11" ht="20.100000000000001" customHeight="1" x14ac:dyDescent="0.25">
      <c r="A315" s="12" t="s">
        <v>1296</v>
      </c>
      <c r="B315" s="13">
        <v>13770172</v>
      </c>
      <c r="C315" s="8">
        <v>739550350036</v>
      </c>
      <c r="D315" s="6" t="s">
        <v>201</v>
      </c>
      <c r="E315" s="18">
        <v>1</v>
      </c>
      <c r="F315" s="14">
        <v>22.99</v>
      </c>
      <c r="G315" s="14">
        <v>22.99</v>
      </c>
      <c r="H315" s="7" t="s">
        <v>941</v>
      </c>
      <c r="I315" s="7" t="s">
        <v>947</v>
      </c>
      <c r="J315" s="7" t="s">
        <v>977</v>
      </c>
      <c r="K315" s="7" t="str">
        <f>HYPERLINK("http://slimages.macys.com/is/image/MCY/15827473 ")</f>
        <v xml:space="preserve">http://slimages.macys.com/is/image/MCY/15827473 </v>
      </c>
    </row>
    <row r="316" spans="1:11" ht="20.100000000000001" customHeight="1" x14ac:dyDescent="0.25">
      <c r="A316" s="12" t="s">
        <v>1296</v>
      </c>
      <c r="B316" s="13">
        <v>13770172</v>
      </c>
      <c r="C316" s="8">
        <v>739550350456</v>
      </c>
      <c r="D316" s="6" t="s">
        <v>202</v>
      </c>
      <c r="E316" s="18">
        <v>2</v>
      </c>
      <c r="F316" s="14">
        <v>15.99</v>
      </c>
      <c r="G316" s="14">
        <v>31.98</v>
      </c>
      <c r="H316" s="7" t="s">
        <v>941</v>
      </c>
      <c r="I316" s="7" t="s">
        <v>947</v>
      </c>
      <c r="J316" s="7" t="s">
        <v>977</v>
      </c>
      <c r="K316" s="7" t="str">
        <f>HYPERLINK("http://slimages.macys.com/is/image/MCY/16495305 ")</f>
        <v xml:space="preserve">http://slimages.macys.com/is/image/MCY/16495305 </v>
      </c>
    </row>
    <row r="317" spans="1:11" ht="20.100000000000001" customHeight="1" x14ac:dyDescent="0.25">
      <c r="A317" s="12" t="s">
        <v>1296</v>
      </c>
      <c r="B317" s="13">
        <v>13770172</v>
      </c>
      <c r="C317" s="8">
        <v>739550350746</v>
      </c>
      <c r="D317" s="6" t="s">
        <v>203</v>
      </c>
      <c r="E317" s="18">
        <v>1</v>
      </c>
      <c r="F317" s="14">
        <v>11.99</v>
      </c>
      <c r="G317" s="14">
        <v>11.99</v>
      </c>
      <c r="H317" s="7" t="s">
        <v>988</v>
      </c>
      <c r="I317" s="7" t="s">
        <v>947</v>
      </c>
      <c r="J317" s="7" t="s">
        <v>977</v>
      </c>
      <c r="K317" s="7" t="str">
        <f>HYPERLINK("http://slimages.macys.com/is/image/MCY/16495442 ")</f>
        <v xml:space="preserve">http://slimages.macys.com/is/image/MCY/16495442 </v>
      </c>
    </row>
    <row r="318" spans="1:11" ht="20.100000000000001" customHeight="1" x14ac:dyDescent="0.25">
      <c r="A318" s="12" t="s">
        <v>1296</v>
      </c>
      <c r="B318" s="13">
        <v>13770172</v>
      </c>
      <c r="C318" s="8">
        <v>746885368766</v>
      </c>
      <c r="D318" s="6" t="s">
        <v>204</v>
      </c>
      <c r="E318" s="18">
        <v>1</v>
      </c>
      <c r="F318" s="14">
        <v>27.99</v>
      </c>
      <c r="G318" s="14">
        <v>27.99</v>
      </c>
      <c r="H318" s="7" t="s">
        <v>944</v>
      </c>
      <c r="I318" s="7" t="s">
        <v>947</v>
      </c>
      <c r="J318" s="7" t="s">
        <v>1284</v>
      </c>
      <c r="K318" s="7" t="str">
        <f>HYPERLINK("http://slimages.macys.com/is/image/MCY/2075000 ")</f>
        <v xml:space="preserve">http://slimages.macys.com/is/image/MCY/2075000 </v>
      </c>
    </row>
    <row r="319" spans="1:11" ht="20.100000000000001" customHeight="1" x14ac:dyDescent="0.25">
      <c r="A319" s="12" t="s">
        <v>1296</v>
      </c>
      <c r="B319" s="13">
        <v>13770172</v>
      </c>
      <c r="C319" s="8">
        <v>746885369787</v>
      </c>
      <c r="D319" s="6" t="s">
        <v>205</v>
      </c>
      <c r="E319" s="18">
        <v>1</v>
      </c>
      <c r="F319" s="14">
        <v>12.99</v>
      </c>
      <c r="G319" s="14">
        <v>12.99</v>
      </c>
      <c r="H319" s="7" t="s">
        <v>997</v>
      </c>
      <c r="I319" s="7" t="s">
        <v>947</v>
      </c>
      <c r="J319" s="7" t="s">
        <v>1284</v>
      </c>
      <c r="K319" s="7" t="str">
        <f>HYPERLINK("http://slimages.macys.com/is/image/MCY/2075013 ")</f>
        <v xml:space="preserve">http://slimages.macys.com/is/image/MCY/2075013 </v>
      </c>
    </row>
    <row r="320" spans="1:11" ht="20.100000000000001" customHeight="1" x14ac:dyDescent="0.25">
      <c r="A320" s="12" t="s">
        <v>1296</v>
      </c>
      <c r="B320" s="13">
        <v>13770172</v>
      </c>
      <c r="C320" s="8">
        <v>746885414654</v>
      </c>
      <c r="D320" s="6" t="s">
        <v>206</v>
      </c>
      <c r="E320" s="18">
        <v>1</v>
      </c>
      <c r="F320" s="14">
        <v>38.99</v>
      </c>
      <c r="G320" s="14">
        <v>38.99</v>
      </c>
      <c r="H320" s="7" t="s">
        <v>941</v>
      </c>
      <c r="I320" s="7" t="s">
        <v>947</v>
      </c>
      <c r="J320" s="7" t="s">
        <v>1284</v>
      </c>
      <c r="K320" s="7" t="str">
        <f>HYPERLINK("http://slimages.macys.com/is/image/MCY/15138055 ")</f>
        <v xml:space="preserve">http://slimages.macys.com/is/image/MCY/15138055 </v>
      </c>
    </row>
    <row r="321" spans="1:11" ht="20.100000000000001" customHeight="1" x14ac:dyDescent="0.25">
      <c r="A321" s="12" t="s">
        <v>1296</v>
      </c>
      <c r="B321" s="13">
        <v>13770172</v>
      </c>
      <c r="C321" s="8">
        <v>750105138640</v>
      </c>
      <c r="D321" s="6" t="s">
        <v>1083</v>
      </c>
      <c r="E321" s="18">
        <v>2</v>
      </c>
      <c r="F321" s="14">
        <v>64.989999999999995</v>
      </c>
      <c r="G321" s="14">
        <v>129.97999999999999</v>
      </c>
      <c r="H321" s="7" t="s">
        <v>941</v>
      </c>
      <c r="I321" s="7" t="s">
        <v>1058</v>
      </c>
      <c r="J321" s="7" t="s">
        <v>1084</v>
      </c>
      <c r="K321" s="7" t="str">
        <f>HYPERLINK("http://slimages.macys.com/is/image/MCY/8589816 ")</f>
        <v xml:space="preserve">http://slimages.macys.com/is/image/MCY/8589816 </v>
      </c>
    </row>
    <row r="322" spans="1:11" ht="20.100000000000001" customHeight="1" x14ac:dyDescent="0.25">
      <c r="A322" s="12" t="s">
        <v>1296</v>
      </c>
      <c r="B322" s="13">
        <v>13770172</v>
      </c>
      <c r="C322" s="8">
        <v>750105138640</v>
      </c>
      <c r="D322" s="6" t="s">
        <v>1083</v>
      </c>
      <c r="E322" s="18">
        <v>1</v>
      </c>
      <c r="F322" s="14">
        <v>64.989999999999995</v>
      </c>
      <c r="G322" s="14">
        <v>64.989999999999995</v>
      </c>
      <c r="H322" s="7" t="s">
        <v>941</v>
      </c>
      <c r="I322" s="7" t="s">
        <v>1058</v>
      </c>
      <c r="J322" s="7" t="s">
        <v>1084</v>
      </c>
      <c r="K322" s="7" t="str">
        <f>HYPERLINK("http://slimages.macys.com/is/image/MCY/8589816 ")</f>
        <v xml:space="preserve">http://slimages.macys.com/is/image/MCY/8589816 </v>
      </c>
    </row>
    <row r="323" spans="1:11" ht="20.100000000000001" customHeight="1" x14ac:dyDescent="0.25">
      <c r="A323" s="12" t="s">
        <v>1296</v>
      </c>
      <c r="B323" s="13">
        <v>13770172</v>
      </c>
      <c r="C323" s="8">
        <v>750105141411</v>
      </c>
      <c r="D323" s="6" t="s">
        <v>207</v>
      </c>
      <c r="E323" s="18">
        <v>1</v>
      </c>
      <c r="F323" s="14">
        <v>159.99</v>
      </c>
      <c r="G323" s="14">
        <v>159.99</v>
      </c>
      <c r="H323" s="7" t="s">
        <v>941</v>
      </c>
      <c r="I323" s="7" t="s">
        <v>1011</v>
      </c>
      <c r="J323" s="7" t="s">
        <v>1134</v>
      </c>
      <c r="K323" s="7" t="str">
        <f>HYPERLINK("http://slimages.macys.com/is/image/MCY/11935772 ")</f>
        <v xml:space="preserve">http://slimages.macys.com/is/image/MCY/11935772 </v>
      </c>
    </row>
    <row r="324" spans="1:11" ht="20.100000000000001" customHeight="1" x14ac:dyDescent="0.25">
      <c r="A324" s="12" t="s">
        <v>1296</v>
      </c>
      <c r="B324" s="13">
        <v>13770172</v>
      </c>
      <c r="C324" s="8">
        <v>750105141435</v>
      </c>
      <c r="D324" s="6" t="s">
        <v>1151</v>
      </c>
      <c r="E324" s="18">
        <v>1</v>
      </c>
      <c r="F324" s="14">
        <v>189.99</v>
      </c>
      <c r="G324" s="14">
        <v>189.99</v>
      </c>
      <c r="H324" s="7" t="s">
        <v>941</v>
      </c>
      <c r="I324" s="7" t="s">
        <v>1011</v>
      </c>
      <c r="J324" s="7" t="s">
        <v>1134</v>
      </c>
      <c r="K324" s="7" t="str">
        <f>HYPERLINK("http://slimages.macys.com/is/image/MCY/11935772 ")</f>
        <v xml:space="preserve">http://slimages.macys.com/is/image/MCY/11935772 </v>
      </c>
    </row>
    <row r="325" spans="1:11" ht="20.100000000000001" customHeight="1" x14ac:dyDescent="0.25">
      <c r="A325" s="12" t="s">
        <v>1296</v>
      </c>
      <c r="B325" s="13">
        <v>13770172</v>
      </c>
      <c r="C325" s="8">
        <v>755615160907</v>
      </c>
      <c r="D325" s="6" t="s">
        <v>1432</v>
      </c>
      <c r="E325" s="18">
        <v>2</v>
      </c>
      <c r="F325" s="14">
        <v>24.99</v>
      </c>
      <c r="G325" s="14">
        <v>49.98</v>
      </c>
      <c r="H325" s="7" t="s">
        <v>952</v>
      </c>
      <c r="I325" s="7" t="s">
        <v>947</v>
      </c>
      <c r="J325" s="7" t="s">
        <v>1284</v>
      </c>
      <c r="K325" s="7" t="str">
        <f>HYPERLINK("http://slimages.macys.com/is/image/MCY/821775 ")</f>
        <v xml:space="preserve">http://slimages.macys.com/is/image/MCY/821775 </v>
      </c>
    </row>
    <row r="326" spans="1:11" ht="20.100000000000001" customHeight="1" x14ac:dyDescent="0.25">
      <c r="A326" s="12" t="s">
        <v>1296</v>
      </c>
      <c r="B326" s="13">
        <v>13770172</v>
      </c>
      <c r="C326" s="8">
        <v>766360449629</v>
      </c>
      <c r="D326" s="6" t="s">
        <v>208</v>
      </c>
      <c r="E326" s="18">
        <v>1</v>
      </c>
      <c r="F326" s="14">
        <v>49.99</v>
      </c>
      <c r="G326" s="14">
        <v>49.99</v>
      </c>
      <c r="H326" s="7" t="s">
        <v>433</v>
      </c>
      <c r="I326" s="7" t="s">
        <v>971</v>
      </c>
      <c r="J326" s="7" t="s">
        <v>972</v>
      </c>
      <c r="K326" s="7" t="str">
        <f>HYPERLINK("http://slimages.macys.com/is/image/MCY/13285480 ")</f>
        <v xml:space="preserve">http://slimages.macys.com/is/image/MCY/13285480 </v>
      </c>
    </row>
    <row r="327" spans="1:11" ht="20.100000000000001" customHeight="1" x14ac:dyDescent="0.25">
      <c r="A327" s="12" t="s">
        <v>1296</v>
      </c>
      <c r="B327" s="13">
        <v>13770172</v>
      </c>
      <c r="C327" s="8">
        <v>783048007476</v>
      </c>
      <c r="D327" s="6" t="s">
        <v>209</v>
      </c>
      <c r="E327" s="18">
        <v>1</v>
      </c>
      <c r="F327" s="14">
        <v>119.99</v>
      </c>
      <c r="G327" s="14">
        <v>119.99</v>
      </c>
      <c r="H327" s="7" t="s">
        <v>968</v>
      </c>
      <c r="I327" s="7" t="s">
        <v>1003</v>
      </c>
      <c r="J327" s="7" t="s">
        <v>1076</v>
      </c>
      <c r="K327" s="7" t="str">
        <f>HYPERLINK("http://slimages.macys.com/is/image/MCY/10425884 ")</f>
        <v xml:space="preserve">http://slimages.macys.com/is/image/MCY/10425884 </v>
      </c>
    </row>
    <row r="328" spans="1:11" ht="20.100000000000001" customHeight="1" x14ac:dyDescent="0.25">
      <c r="A328" s="12" t="s">
        <v>1296</v>
      </c>
      <c r="B328" s="13">
        <v>13770172</v>
      </c>
      <c r="C328" s="8">
        <v>783048019295</v>
      </c>
      <c r="D328" s="6" t="s">
        <v>210</v>
      </c>
      <c r="E328" s="18">
        <v>1</v>
      </c>
      <c r="F328" s="14">
        <v>83.99</v>
      </c>
      <c r="G328" s="14">
        <v>83.99</v>
      </c>
      <c r="H328" s="7" t="s">
        <v>968</v>
      </c>
      <c r="I328" s="7" t="s">
        <v>945</v>
      </c>
      <c r="J328" s="7" t="s">
        <v>1021</v>
      </c>
      <c r="K328" s="7" t="str">
        <f>HYPERLINK("http://slimages.macys.com/is/image/MCY/10005635 ")</f>
        <v xml:space="preserve">http://slimages.macys.com/is/image/MCY/10005635 </v>
      </c>
    </row>
    <row r="329" spans="1:11" ht="20.100000000000001" customHeight="1" x14ac:dyDescent="0.25">
      <c r="A329" s="12" t="s">
        <v>1296</v>
      </c>
      <c r="B329" s="13">
        <v>13770172</v>
      </c>
      <c r="C329" s="8">
        <v>783048019721</v>
      </c>
      <c r="D329" s="6" t="s">
        <v>211</v>
      </c>
      <c r="E329" s="18">
        <v>1</v>
      </c>
      <c r="F329" s="14">
        <v>18.989999999999998</v>
      </c>
      <c r="G329" s="14">
        <v>18.989999999999998</v>
      </c>
      <c r="H329" s="7" t="s">
        <v>968</v>
      </c>
      <c r="I329" s="7" t="s">
        <v>939</v>
      </c>
      <c r="J329" s="7" t="s">
        <v>1021</v>
      </c>
      <c r="K329" s="7" t="str">
        <f>HYPERLINK("http://slimages.macys.com/is/image/MCY/12079770 ")</f>
        <v xml:space="preserve">http://slimages.macys.com/is/image/MCY/12079770 </v>
      </c>
    </row>
    <row r="330" spans="1:11" ht="20.100000000000001" customHeight="1" x14ac:dyDescent="0.25">
      <c r="A330" s="12" t="s">
        <v>1296</v>
      </c>
      <c r="B330" s="13">
        <v>13770172</v>
      </c>
      <c r="C330" s="8">
        <v>783048019721</v>
      </c>
      <c r="D330" s="6" t="s">
        <v>211</v>
      </c>
      <c r="E330" s="18">
        <v>1</v>
      </c>
      <c r="F330" s="14">
        <v>18.989999999999998</v>
      </c>
      <c r="G330" s="14">
        <v>18.989999999999998</v>
      </c>
      <c r="H330" s="7" t="s">
        <v>968</v>
      </c>
      <c r="I330" s="7" t="s">
        <v>939</v>
      </c>
      <c r="J330" s="7" t="s">
        <v>1021</v>
      </c>
      <c r="K330" s="7" t="str">
        <f>HYPERLINK("http://slimages.macys.com/is/image/MCY/12079770 ")</f>
        <v xml:space="preserve">http://slimages.macys.com/is/image/MCY/12079770 </v>
      </c>
    </row>
    <row r="331" spans="1:11" ht="20.100000000000001" customHeight="1" x14ac:dyDescent="0.25">
      <c r="A331" s="12" t="s">
        <v>1296</v>
      </c>
      <c r="B331" s="13">
        <v>13770172</v>
      </c>
      <c r="C331" s="8">
        <v>783048037299</v>
      </c>
      <c r="D331" s="6" t="s">
        <v>212</v>
      </c>
      <c r="E331" s="18">
        <v>1</v>
      </c>
      <c r="F331" s="14">
        <v>69.989999999999995</v>
      </c>
      <c r="G331" s="14">
        <v>69.989999999999995</v>
      </c>
      <c r="H331" s="7"/>
      <c r="I331" s="7" t="s">
        <v>945</v>
      </c>
      <c r="J331" s="7" t="s">
        <v>1021</v>
      </c>
      <c r="K331" s="7" t="str">
        <f>HYPERLINK("http://slimages.macys.com/is/image/MCY/8962717 ")</f>
        <v xml:space="preserve">http://slimages.macys.com/is/image/MCY/8962717 </v>
      </c>
    </row>
    <row r="332" spans="1:11" ht="20.100000000000001" customHeight="1" x14ac:dyDescent="0.25">
      <c r="A332" s="12" t="s">
        <v>1296</v>
      </c>
      <c r="B332" s="13">
        <v>13770172</v>
      </c>
      <c r="C332" s="8">
        <v>783048038395</v>
      </c>
      <c r="D332" s="6" t="s">
        <v>213</v>
      </c>
      <c r="E332" s="18">
        <v>1</v>
      </c>
      <c r="F332" s="14">
        <v>49.99</v>
      </c>
      <c r="G332" s="14">
        <v>49.99</v>
      </c>
      <c r="H332" s="7" t="s">
        <v>1026</v>
      </c>
      <c r="I332" s="7" t="s">
        <v>947</v>
      </c>
      <c r="J332" s="7" t="s">
        <v>1021</v>
      </c>
      <c r="K332" s="7" t="str">
        <f>HYPERLINK("http://slimages.macys.com/is/image/MCY/9545849 ")</f>
        <v xml:space="preserve">http://slimages.macys.com/is/image/MCY/9545849 </v>
      </c>
    </row>
    <row r="333" spans="1:11" ht="20.100000000000001" customHeight="1" x14ac:dyDescent="0.25">
      <c r="A333" s="12" t="s">
        <v>1296</v>
      </c>
      <c r="B333" s="13">
        <v>13770172</v>
      </c>
      <c r="C333" s="8">
        <v>783048107718</v>
      </c>
      <c r="D333" s="6" t="s">
        <v>214</v>
      </c>
      <c r="E333" s="18">
        <v>1</v>
      </c>
      <c r="F333" s="14">
        <v>77.989999999999995</v>
      </c>
      <c r="G333" s="14">
        <v>77.989999999999995</v>
      </c>
      <c r="H333" s="7" t="s">
        <v>1168</v>
      </c>
      <c r="I333" s="7" t="s">
        <v>945</v>
      </c>
      <c r="J333" s="7" t="s">
        <v>1021</v>
      </c>
      <c r="K333" s="7" t="str">
        <f>HYPERLINK("http://slimages.macys.com/is/image/MCY/16149477 ")</f>
        <v xml:space="preserve">http://slimages.macys.com/is/image/MCY/16149477 </v>
      </c>
    </row>
    <row r="334" spans="1:11" ht="20.100000000000001" customHeight="1" x14ac:dyDescent="0.25">
      <c r="A334" s="12" t="s">
        <v>1296</v>
      </c>
      <c r="B334" s="13">
        <v>13770172</v>
      </c>
      <c r="C334" s="8">
        <v>783048116390</v>
      </c>
      <c r="D334" s="6" t="s">
        <v>215</v>
      </c>
      <c r="E334" s="18">
        <v>1</v>
      </c>
      <c r="F334" s="14">
        <v>29.99</v>
      </c>
      <c r="G334" s="14">
        <v>29.99</v>
      </c>
      <c r="H334" s="7"/>
      <c r="I334" s="7" t="s">
        <v>945</v>
      </c>
      <c r="J334" s="7" t="s">
        <v>1021</v>
      </c>
      <c r="K334" s="7" t="str">
        <f>HYPERLINK("http://slimages.macys.com/is/image/MCY/15393336 ")</f>
        <v xml:space="preserve">http://slimages.macys.com/is/image/MCY/15393336 </v>
      </c>
    </row>
    <row r="335" spans="1:11" ht="20.100000000000001" customHeight="1" x14ac:dyDescent="0.25">
      <c r="A335" s="12" t="s">
        <v>1296</v>
      </c>
      <c r="B335" s="13">
        <v>13770172</v>
      </c>
      <c r="C335" s="8">
        <v>783048116390</v>
      </c>
      <c r="D335" s="6" t="s">
        <v>215</v>
      </c>
      <c r="E335" s="18">
        <v>1</v>
      </c>
      <c r="F335" s="14">
        <v>29.99</v>
      </c>
      <c r="G335" s="14">
        <v>29.99</v>
      </c>
      <c r="H335" s="7"/>
      <c r="I335" s="7" t="s">
        <v>945</v>
      </c>
      <c r="J335" s="7" t="s">
        <v>1021</v>
      </c>
      <c r="K335" s="7" t="str">
        <f>HYPERLINK("http://slimages.macys.com/is/image/MCY/15393336 ")</f>
        <v xml:space="preserve">http://slimages.macys.com/is/image/MCY/15393336 </v>
      </c>
    </row>
    <row r="336" spans="1:11" ht="20.100000000000001" customHeight="1" x14ac:dyDescent="0.25">
      <c r="A336" s="12" t="s">
        <v>1296</v>
      </c>
      <c r="B336" s="13">
        <v>13770172</v>
      </c>
      <c r="C336" s="8">
        <v>783048154200</v>
      </c>
      <c r="D336" s="6" t="s">
        <v>1329</v>
      </c>
      <c r="E336" s="18">
        <v>1</v>
      </c>
      <c r="F336" s="14">
        <v>29.99</v>
      </c>
      <c r="G336" s="14">
        <v>29.99</v>
      </c>
      <c r="H336" s="7"/>
      <c r="I336" s="7" t="s">
        <v>945</v>
      </c>
      <c r="J336" s="7" t="s">
        <v>1021</v>
      </c>
      <c r="K336" s="7" t="str">
        <f>HYPERLINK("http://slimages.macys.com/is/image/MCY/18716660 ")</f>
        <v xml:space="preserve">http://slimages.macys.com/is/image/MCY/18716660 </v>
      </c>
    </row>
    <row r="337" spans="1:11" ht="20.100000000000001" customHeight="1" x14ac:dyDescent="0.25">
      <c r="A337" s="12" t="s">
        <v>1296</v>
      </c>
      <c r="B337" s="13">
        <v>13770172</v>
      </c>
      <c r="C337" s="8">
        <v>783048158222</v>
      </c>
      <c r="D337" s="6" t="s">
        <v>216</v>
      </c>
      <c r="E337" s="18">
        <v>1</v>
      </c>
      <c r="F337" s="14">
        <v>29.99</v>
      </c>
      <c r="G337" s="14">
        <v>29.99</v>
      </c>
      <c r="H337" s="7"/>
      <c r="I337" s="7" t="s">
        <v>945</v>
      </c>
      <c r="J337" s="7" t="s">
        <v>1021</v>
      </c>
      <c r="K337" s="7" t="str">
        <f>HYPERLINK("http://slimages.macys.com/is/image/MCY/18987341 ")</f>
        <v xml:space="preserve">http://slimages.macys.com/is/image/MCY/18987341 </v>
      </c>
    </row>
    <row r="338" spans="1:11" ht="20.100000000000001" customHeight="1" x14ac:dyDescent="0.25">
      <c r="A338" s="12" t="s">
        <v>1296</v>
      </c>
      <c r="B338" s="13">
        <v>13770172</v>
      </c>
      <c r="C338" s="8">
        <v>783048161680</v>
      </c>
      <c r="D338" s="6" t="s">
        <v>442</v>
      </c>
      <c r="E338" s="18">
        <v>1</v>
      </c>
      <c r="F338" s="14">
        <v>49.99</v>
      </c>
      <c r="G338" s="14">
        <v>49.99</v>
      </c>
      <c r="H338" s="7"/>
      <c r="I338" s="7" t="s">
        <v>945</v>
      </c>
      <c r="J338" s="7" t="s">
        <v>1021</v>
      </c>
      <c r="K338" s="7" t="str">
        <f>HYPERLINK("http://slimages.macys.com/is/image/MCY/19685346 ")</f>
        <v xml:space="preserve">http://slimages.macys.com/is/image/MCY/19685346 </v>
      </c>
    </row>
    <row r="339" spans="1:11" ht="20.100000000000001" customHeight="1" x14ac:dyDescent="0.25">
      <c r="A339" s="12" t="s">
        <v>1296</v>
      </c>
      <c r="B339" s="13">
        <v>13770172</v>
      </c>
      <c r="C339" s="8">
        <v>783048161697</v>
      </c>
      <c r="D339" s="6" t="s">
        <v>1391</v>
      </c>
      <c r="E339" s="18">
        <v>1</v>
      </c>
      <c r="F339" s="14">
        <v>49.99</v>
      </c>
      <c r="G339" s="14">
        <v>49.99</v>
      </c>
      <c r="H339" s="7"/>
      <c r="I339" s="7" t="s">
        <v>945</v>
      </c>
      <c r="J339" s="7" t="s">
        <v>1021</v>
      </c>
      <c r="K339" s="7" t="str">
        <f>HYPERLINK("http://slimages.macys.com/is/image/MCY/19685376 ")</f>
        <v xml:space="preserve">http://slimages.macys.com/is/image/MCY/19685376 </v>
      </c>
    </row>
    <row r="340" spans="1:11" ht="20.100000000000001" customHeight="1" x14ac:dyDescent="0.25">
      <c r="A340" s="12" t="s">
        <v>1296</v>
      </c>
      <c r="B340" s="13">
        <v>13770172</v>
      </c>
      <c r="C340" s="8">
        <v>784008134782</v>
      </c>
      <c r="D340" s="6" t="s">
        <v>1330</v>
      </c>
      <c r="E340" s="18">
        <v>2</v>
      </c>
      <c r="F340" s="14">
        <v>69.989999999999995</v>
      </c>
      <c r="G340" s="14">
        <v>139.97999999999999</v>
      </c>
      <c r="H340" s="7" t="s">
        <v>950</v>
      </c>
      <c r="I340" s="7" t="s">
        <v>942</v>
      </c>
      <c r="J340" s="7" t="s">
        <v>943</v>
      </c>
      <c r="K340" s="7" t="str">
        <f>HYPERLINK("http://slimages.macys.com/is/image/MCY/11798924 ")</f>
        <v xml:space="preserve">http://slimages.macys.com/is/image/MCY/11798924 </v>
      </c>
    </row>
    <row r="341" spans="1:11" ht="20.100000000000001" customHeight="1" x14ac:dyDescent="0.25">
      <c r="A341" s="12" t="s">
        <v>1296</v>
      </c>
      <c r="B341" s="13">
        <v>13770172</v>
      </c>
      <c r="C341" s="8">
        <v>784857867558</v>
      </c>
      <c r="D341" s="6" t="s">
        <v>217</v>
      </c>
      <c r="E341" s="18">
        <v>1</v>
      </c>
      <c r="F341" s="14">
        <v>20.99</v>
      </c>
      <c r="G341" s="14">
        <v>20.99</v>
      </c>
      <c r="H341" s="7" t="s">
        <v>968</v>
      </c>
      <c r="I341" s="7" t="s">
        <v>958</v>
      </c>
      <c r="J341" s="7" t="s">
        <v>1101</v>
      </c>
      <c r="K341" s="7" t="str">
        <f>HYPERLINK("http://slimages.macys.com/is/image/MCY/17556852 ")</f>
        <v xml:space="preserve">http://slimages.macys.com/is/image/MCY/17556852 </v>
      </c>
    </row>
    <row r="342" spans="1:11" ht="20.100000000000001" customHeight="1" x14ac:dyDescent="0.25">
      <c r="A342" s="12" t="s">
        <v>1296</v>
      </c>
      <c r="B342" s="13">
        <v>13770172</v>
      </c>
      <c r="C342" s="8">
        <v>788904110048</v>
      </c>
      <c r="D342" s="6" t="s">
        <v>218</v>
      </c>
      <c r="E342" s="18">
        <v>1</v>
      </c>
      <c r="F342" s="14">
        <v>54.99</v>
      </c>
      <c r="G342" s="14">
        <v>54.99</v>
      </c>
      <c r="H342" s="7" t="s">
        <v>941</v>
      </c>
      <c r="I342" s="7" t="s">
        <v>961</v>
      </c>
      <c r="J342" s="7" t="s">
        <v>962</v>
      </c>
      <c r="K342" s="7" t="str">
        <f>HYPERLINK("http://slimages.macys.com/is/image/MCY/11189222 ")</f>
        <v xml:space="preserve">http://slimages.macys.com/is/image/MCY/11189222 </v>
      </c>
    </row>
    <row r="343" spans="1:11" ht="20.100000000000001" customHeight="1" x14ac:dyDescent="0.25">
      <c r="A343" s="12" t="s">
        <v>1296</v>
      </c>
      <c r="B343" s="13">
        <v>13770172</v>
      </c>
      <c r="C343" s="8">
        <v>788904127831</v>
      </c>
      <c r="D343" s="6" t="s">
        <v>219</v>
      </c>
      <c r="E343" s="18">
        <v>1</v>
      </c>
      <c r="F343" s="14">
        <v>15.99</v>
      </c>
      <c r="G343" s="14">
        <v>15.99</v>
      </c>
      <c r="H343" s="7" t="s">
        <v>988</v>
      </c>
      <c r="I343" s="7" t="s">
        <v>947</v>
      </c>
      <c r="J343" s="7" t="s">
        <v>962</v>
      </c>
      <c r="K343" s="7" t="str">
        <f>HYPERLINK("http://slimages.macys.com/is/image/MCY/8223041 ")</f>
        <v xml:space="preserve">http://slimages.macys.com/is/image/MCY/8223041 </v>
      </c>
    </row>
    <row r="344" spans="1:11" ht="20.100000000000001" customHeight="1" x14ac:dyDescent="0.25">
      <c r="A344" s="12" t="s">
        <v>1296</v>
      </c>
      <c r="B344" s="13">
        <v>13770172</v>
      </c>
      <c r="C344" s="8">
        <v>788904130091</v>
      </c>
      <c r="D344" s="6" t="s">
        <v>1020</v>
      </c>
      <c r="E344" s="18">
        <v>1</v>
      </c>
      <c r="F344" s="14">
        <v>39.99</v>
      </c>
      <c r="G344" s="14">
        <v>39.99</v>
      </c>
      <c r="H344" s="7" t="s">
        <v>941</v>
      </c>
      <c r="I344" s="7" t="s">
        <v>961</v>
      </c>
      <c r="J344" s="7" t="s">
        <v>962</v>
      </c>
      <c r="K344" s="7" t="str">
        <f>HYPERLINK("http://slimages.macys.com/is/image/MCY/3895749 ")</f>
        <v xml:space="preserve">http://slimages.macys.com/is/image/MCY/3895749 </v>
      </c>
    </row>
    <row r="345" spans="1:11" ht="20.100000000000001" customHeight="1" x14ac:dyDescent="0.25">
      <c r="A345" s="12" t="s">
        <v>1296</v>
      </c>
      <c r="B345" s="13">
        <v>13770172</v>
      </c>
      <c r="C345" s="8">
        <v>788904130657</v>
      </c>
      <c r="D345" s="6" t="s">
        <v>1290</v>
      </c>
      <c r="E345" s="18">
        <v>1</v>
      </c>
      <c r="F345" s="14">
        <v>39.99</v>
      </c>
      <c r="G345" s="14">
        <v>39.99</v>
      </c>
      <c r="H345" s="7" t="s">
        <v>941</v>
      </c>
      <c r="I345" s="7" t="s">
        <v>961</v>
      </c>
      <c r="J345" s="7" t="s">
        <v>962</v>
      </c>
      <c r="K345" s="7" t="str">
        <f>HYPERLINK("http://slimages.macys.com/is/image/MCY/3895749 ")</f>
        <v xml:space="preserve">http://slimages.macys.com/is/image/MCY/3895749 </v>
      </c>
    </row>
    <row r="346" spans="1:11" ht="20.100000000000001" customHeight="1" x14ac:dyDescent="0.25">
      <c r="A346" s="12" t="s">
        <v>1296</v>
      </c>
      <c r="B346" s="13">
        <v>13770172</v>
      </c>
      <c r="C346" s="8">
        <v>789323347497</v>
      </c>
      <c r="D346" s="6" t="s">
        <v>220</v>
      </c>
      <c r="E346" s="18">
        <v>4</v>
      </c>
      <c r="F346" s="14">
        <v>18.989999999999998</v>
      </c>
      <c r="G346" s="14">
        <v>75.959999999999994</v>
      </c>
      <c r="H346" s="7" t="s">
        <v>941</v>
      </c>
      <c r="I346" s="7" t="s">
        <v>947</v>
      </c>
      <c r="J346" s="7" t="s">
        <v>1140</v>
      </c>
      <c r="K346" s="7" t="str">
        <f>HYPERLINK("http://slimages.macys.com/is/image/MCY/14832543 ")</f>
        <v xml:space="preserve">http://slimages.macys.com/is/image/MCY/14832543 </v>
      </c>
    </row>
    <row r="347" spans="1:11" ht="20.100000000000001" customHeight="1" x14ac:dyDescent="0.25">
      <c r="A347" s="12" t="s">
        <v>1296</v>
      </c>
      <c r="B347" s="13">
        <v>13770172</v>
      </c>
      <c r="C347" s="8">
        <v>791551525837</v>
      </c>
      <c r="D347" s="6" t="s">
        <v>1393</v>
      </c>
      <c r="E347" s="18">
        <v>1</v>
      </c>
      <c r="F347" s="14">
        <v>29.99</v>
      </c>
      <c r="G347" s="14">
        <v>29.99</v>
      </c>
      <c r="H347" s="7" t="s">
        <v>1026</v>
      </c>
      <c r="I347" s="7" t="s">
        <v>1017</v>
      </c>
      <c r="J347" s="7" t="s">
        <v>1203</v>
      </c>
      <c r="K347" s="7" t="str">
        <f>HYPERLINK("http://slimages.macys.com/is/image/MCY/8589764 ")</f>
        <v xml:space="preserve">http://slimages.macys.com/is/image/MCY/8589764 </v>
      </c>
    </row>
    <row r="348" spans="1:11" ht="20.100000000000001" customHeight="1" x14ac:dyDescent="0.25">
      <c r="A348" s="12" t="s">
        <v>1296</v>
      </c>
      <c r="B348" s="13">
        <v>13770172</v>
      </c>
      <c r="C348" s="8">
        <v>791551525837</v>
      </c>
      <c r="D348" s="6" t="s">
        <v>1393</v>
      </c>
      <c r="E348" s="18">
        <v>1</v>
      </c>
      <c r="F348" s="14">
        <v>29.99</v>
      </c>
      <c r="G348" s="14">
        <v>29.99</v>
      </c>
      <c r="H348" s="7" t="s">
        <v>1026</v>
      </c>
      <c r="I348" s="7" t="s">
        <v>1017</v>
      </c>
      <c r="J348" s="7" t="s">
        <v>1203</v>
      </c>
      <c r="K348" s="7" t="str">
        <f>HYPERLINK("http://slimages.macys.com/is/image/MCY/8589764 ")</f>
        <v xml:space="preserve">http://slimages.macys.com/is/image/MCY/8589764 </v>
      </c>
    </row>
    <row r="349" spans="1:11" ht="20.100000000000001" customHeight="1" x14ac:dyDescent="0.25">
      <c r="A349" s="12" t="s">
        <v>1296</v>
      </c>
      <c r="B349" s="13">
        <v>13770172</v>
      </c>
      <c r="C349" s="8">
        <v>800298566031</v>
      </c>
      <c r="D349" s="6" t="s">
        <v>221</v>
      </c>
      <c r="E349" s="18">
        <v>3</v>
      </c>
      <c r="F349" s="14">
        <v>24.99</v>
      </c>
      <c r="G349" s="14">
        <v>74.97</v>
      </c>
      <c r="H349" s="7" t="s">
        <v>981</v>
      </c>
      <c r="I349" s="7" t="s">
        <v>947</v>
      </c>
      <c r="J349" s="7" t="s">
        <v>1019</v>
      </c>
      <c r="K349" s="7" t="str">
        <f>HYPERLINK("http://slimages.macys.com/is/image/MCY/8501242 ")</f>
        <v xml:space="preserve">http://slimages.macys.com/is/image/MCY/8501242 </v>
      </c>
    </row>
    <row r="350" spans="1:11" ht="20.100000000000001" customHeight="1" x14ac:dyDescent="0.25">
      <c r="A350" s="12" t="s">
        <v>1296</v>
      </c>
      <c r="B350" s="13">
        <v>13770172</v>
      </c>
      <c r="C350" s="8">
        <v>800298566031</v>
      </c>
      <c r="D350" s="6" t="s">
        <v>221</v>
      </c>
      <c r="E350" s="18">
        <v>1</v>
      </c>
      <c r="F350" s="14">
        <v>24.99</v>
      </c>
      <c r="G350" s="14">
        <v>24.99</v>
      </c>
      <c r="H350" s="7" t="s">
        <v>981</v>
      </c>
      <c r="I350" s="7" t="s">
        <v>947</v>
      </c>
      <c r="J350" s="7" t="s">
        <v>1019</v>
      </c>
      <c r="K350" s="7" t="str">
        <f>HYPERLINK("http://slimages.macys.com/is/image/MCY/8501242 ")</f>
        <v xml:space="preserve">http://slimages.macys.com/is/image/MCY/8501242 </v>
      </c>
    </row>
    <row r="351" spans="1:11" ht="20.100000000000001" customHeight="1" x14ac:dyDescent="0.25">
      <c r="A351" s="12" t="s">
        <v>1296</v>
      </c>
      <c r="B351" s="13">
        <v>13770172</v>
      </c>
      <c r="C351" s="8">
        <v>800298596892</v>
      </c>
      <c r="D351" s="6" t="s">
        <v>222</v>
      </c>
      <c r="E351" s="18">
        <v>1</v>
      </c>
      <c r="F351" s="14">
        <v>179.99</v>
      </c>
      <c r="G351" s="14">
        <v>179.99</v>
      </c>
      <c r="H351" s="7" t="s">
        <v>968</v>
      </c>
      <c r="I351" s="7" t="s">
        <v>999</v>
      </c>
      <c r="J351" s="7" t="s">
        <v>1024</v>
      </c>
      <c r="K351" s="7" t="str">
        <f>HYPERLINK("http://slimages.macys.com/is/image/MCY/8419272 ")</f>
        <v xml:space="preserve">http://slimages.macys.com/is/image/MCY/8419272 </v>
      </c>
    </row>
    <row r="352" spans="1:11" ht="20.100000000000001" customHeight="1" x14ac:dyDescent="0.25">
      <c r="A352" s="12" t="s">
        <v>1296</v>
      </c>
      <c r="B352" s="13">
        <v>13770172</v>
      </c>
      <c r="C352" s="8">
        <v>800298615388</v>
      </c>
      <c r="D352" s="6" t="s">
        <v>223</v>
      </c>
      <c r="E352" s="18">
        <v>1</v>
      </c>
      <c r="F352" s="14">
        <v>119.99</v>
      </c>
      <c r="G352" s="14">
        <v>119.99</v>
      </c>
      <c r="H352" s="7" t="s">
        <v>981</v>
      </c>
      <c r="I352" s="7" t="s">
        <v>947</v>
      </c>
      <c r="J352" s="7" t="s">
        <v>1019</v>
      </c>
      <c r="K352" s="7" t="str">
        <f>HYPERLINK("http://slimages.macys.com/is/image/MCY/8907453 ")</f>
        <v xml:space="preserve">http://slimages.macys.com/is/image/MCY/8907453 </v>
      </c>
    </row>
    <row r="353" spans="1:11" ht="20.100000000000001" customHeight="1" x14ac:dyDescent="0.25">
      <c r="A353" s="12" t="s">
        <v>1296</v>
      </c>
      <c r="B353" s="13">
        <v>13770172</v>
      </c>
      <c r="C353" s="8">
        <v>800298705263</v>
      </c>
      <c r="D353" s="6" t="s">
        <v>224</v>
      </c>
      <c r="E353" s="18">
        <v>2</v>
      </c>
      <c r="F353" s="14">
        <v>149.99</v>
      </c>
      <c r="G353" s="14">
        <v>299.98</v>
      </c>
      <c r="H353" s="7" t="s">
        <v>952</v>
      </c>
      <c r="I353" s="7" t="s">
        <v>999</v>
      </c>
      <c r="J353" s="7" t="s">
        <v>1024</v>
      </c>
      <c r="K353" s="7" t="str">
        <f>HYPERLINK("http://slimages.macys.com/is/image/MCY/16930418 ")</f>
        <v xml:space="preserve">http://slimages.macys.com/is/image/MCY/16930418 </v>
      </c>
    </row>
    <row r="354" spans="1:11" ht="20.100000000000001" customHeight="1" x14ac:dyDescent="0.25">
      <c r="A354" s="12" t="s">
        <v>1296</v>
      </c>
      <c r="B354" s="13">
        <v>13770172</v>
      </c>
      <c r="C354" s="8">
        <v>810006711332</v>
      </c>
      <c r="D354" s="6" t="s">
        <v>225</v>
      </c>
      <c r="E354" s="18">
        <v>1</v>
      </c>
      <c r="F354" s="14">
        <v>27.99</v>
      </c>
      <c r="G354" s="14">
        <v>27.99</v>
      </c>
      <c r="H354" s="7" t="s">
        <v>1023</v>
      </c>
      <c r="I354" s="7" t="s">
        <v>1033</v>
      </c>
      <c r="J354" s="7" t="s">
        <v>1123</v>
      </c>
      <c r="K354" s="7" t="str">
        <f>HYPERLINK("http://slimages.macys.com/is/image/MCY/11472776 ")</f>
        <v xml:space="preserve">http://slimages.macys.com/is/image/MCY/11472776 </v>
      </c>
    </row>
    <row r="355" spans="1:11" ht="20.100000000000001" customHeight="1" x14ac:dyDescent="0.25">
      <c r="A355" s="12" t="s">
        <v>1296</v>
      </c>
      <c r="B355" s="13">
        <v>13770172</v>
      </c>
      <c r="C355" s="8">
        <v>810006713541</v>
      </c>
      <c r="D355" s="6" t="s">
        <v>226</v>
      </c>
      <c r="E355" s="18">
        <v>1</v>
      </c>
      <c r="F355" s="14">
        <v>56.99</v>
      </c>
      <c r="G355" s="14">
        <v>56.99</v>
      </c>
      <c r="H355" s="7" t="s">
        <v>1104</v>
      </c>
      <c r="I355" s="7" t="s">
        <v>1033</v>
      </c>
      <c r="J355" s="7" t="s">
        <v>1123</v>
      </c>
      <c r="K355" s="7" t="str">
        <f>HYPERLINK("http://slimages.macys.com/is/image/MCY/10481565 ")</f>
        <v xml:space="preserve">http://slimages.macys.com/is/image/MCY/10481565 </v>
      </c>
    </row>
    <row r="356" spans="1:11" ht="20.100000000000001" customHeight="1" x14ac:dyDescent="0.25">
      <c r="A356" s="12" t="s">
        <v>1296</v>
      </c>
      <c r="B356" s="13">
        <v>13770172</v>
      </c>
      <c r="C356" s="8">
        <v>810026171512</v>
      </c>
      <c r="D356" s="6" t="s">
        <v>979</v>
      </c>
      <c r="E356" s="18">
        <v>1</v>
      </c>
      <c r="F356" s="14">
        <v>39.99</v>
      </c>
      <c r="G356" s="14">
        <v>39.99</v>
      </c>
      <c r="H356" s="7" t="s">
        <v>938</v>
      </c>
      <c r="I356" s="7" t="s">
        <v>947</v>
      </c>
      <c r="J356" s="7" t="s">
        <v>980</v>
      </c>
      <c r="K356" s="7" t="str">
        <f>HYPERLINK("http://slimages.macys.com/is/image/MCY/13767915 ")</f>
        <v xml:space="preserve">http://slimages.macys.com/is/image/MCY/13767915 </v>
      </c>
    </row>
    <row r="357" spans="1:11" ht="20.100000000000001" customHeight="1" x14ac:dyDescent="0.25">
      <c r="A357" s="12" t="s">
        <v>1296</v>
      </c>
      <c r="B357" s="13">
        <v>13770172</v>
      </c>
      <c r="C357" s="8">
        <v>810026171604</v>
      </c>
      <c r="D357" s="6" t="s">
        <v>979</v>
      </c>
      <c r="E357" s="18">
        <v>1</v>
      </c>
      <c r="F357" s="14">
        <v>47.99</v>
      </c>
      <c r="G357" s="14">
        <v>47.99</v>
      </c>
      <c r="H357" s="7" t="s">
        <v>938</v>
      </c>
      <c r="I357" s="7" t="s">
        <v>947</v>
      </c>
      <c r="J357" s="7" t="s">
        <v>980</v>
      </c>
      <c r="K357" s="7" t="str">
        <f>HYPERLINK("http://slimages.macys.com/is/image/MCY/13767943 ")</f>
        <v xml:space="preserve">http://slimages.macys.com/is/image/MCY/13767943 </v>
      </c>
    </row>
    <row r="358" spans="1:11" ht="20.100000000000001" customHeight="1" x14ac:dyDescent="0.25">
      <c r="A358" s="12" t="s">
        <v>1296</v>
      </c>
      <c r="B358" s="13">
        <v>13770172</v>
      </c>
      <c r="C358" s="8">
        <v>810026172694</v>
      </c>
      <c r="D358" s="6" t="s">
        <v>227</v>
      </c>
      <c r="E358" s="18">
        <v>1</v>
      </c>
      <c r="F358" s="14">
        <v>41.99</v>
      </c>
      <c r="G358" s="14">
        <v>41.99</v>
      </c>
      <c r="H358" s="7" t="s">
        <v>988</v>
      </c>
      <c r="I358" s="7" t="s">
        <v>947</v>
      </c>
      <c r="J358" s="7" t="s">
        <v>980</v>
      </c>
      <c r="K358" s="7" t="str">
        <f>HYPERLINK("http://slimages.macys.com/is/image/MCY/15895766 ")</f>
        <v xml:space="preserve">http://slimages.macys.com/is/image/MCY/15895766 </v>
      </c>
    </row>
    <row r="359" spans="1:11" ht="20.100000000000001" customHeight="1" x14ac:dyDescent="0.25">
      <c r="A359" s="12" t="s">
        <v>1296</v>
      </c>
      <c r="B359" s="13">
        <v>13770172</v>
      </c>
      <c r="C359" s="8">
        <v>810031410521</v>
      </c>
      <c r="D359" s="6" t="s">
        <v>228</v>
      </c>
      <c r="E359" s="18">
        <v>2</v>
      </c>
      <c r="F359" s="14">
        <v>44.99</v>
      </c>
      <c r="G359" s="14">
        <v>89.98</v>
      </c>
      <c r="H359" s="7" t="s">
        <v>941</v>
      </c>
      <c r="I359" s="7" t="s">
        <v>1017</v>
      </c>
      <c r="J359" s="7" t="s">
        <v>1127</v>
      </c>
      <c r="K359" s="7" t="str">
        <f>HYPERLINK("http://slimages.macys.com/is/image/MCY/14905674 ")</f>
        <v xml:space="preserve">http://slimages.macys.com/is/image/MCY/14905674 </v>
      </c>
    </row>
    <row r="360" spans="1:11" ht="20.100000000000001" customHeight="1" x14ac:dyDescent="0.25">
      <c r="A360" s="12" t="s">
        <v>1296</v>
      </c>
      <c r="B360" s="13">
        <v>13770172</v>
      </c>
      <c r="C360" s="8">
        <v>810039580059</v>
      </c>
      <c r="D360" s="6" t="s">
        <v>229</v>
      </c>
      <c r="E360" s="18">
        <v>1</v>
      </c>
      <c r="F360" s="14">
        <v>89.99</v>
      </c>
      <c r="G360" s="14">
        <v>89.99</v>
      </c>
      <c r="H360" s="7" t="s">
        <v>950</v>
      </c>
      <c r="I360" s="7" t="s">
        <v>947</v>
      </c>
      <c r="J360" s="7" t="s">
        <v>470</v>
      </c>
      <c r="K360" s="7" t="str">
        <f>HYPERLINK("http://slimages.macys.com/is/image/MCY/17026147 ")</f>
        <v xml:space="preserve">http://slimages.macys.com/is/image/MCY/17026147 </v>
      </c>
    </row>
    <row r="361" spans="1:11" ht="20.100000000000001" customHeight="1" x14ac:dyDescent="0.25">
      <c r="A361" s="12" t="s">
        <v>1296</v>
      </c>
      <c r="B361" s="13">
        <v>13770172</v>
      </c>
      <c r="C361" s="8">
        <v>812091033368</v>
      </c>
      <c r="D361" s="6" t="s">
        <v>230</v>
      </c>
      <c r="E361" s="18">
        <v>1</v>
      </c>
      <c r="F361" s="14">
        <v>12.99</v>
      </c>
      <c r="G361" s="14">
        <v>12.99</v>
      </c>
      <c r="H361" s="7" t="s">
        <v>1068</v>
      </c>
      <c r="I361" s="7" t="s">
        <v>947</v>
      </c>
      <c r="J361" s="7" t="s">
        <v>231</v>
      </c>
      <c r="K361" s="7" t="str">
        <f>HYPERLINK("http://slimages.macys.com/is/image/MCY/17155343 ")</f>
        <v xml:space="preserve">http://slimages.macys.com/is/image/MCY/17155343 </v>
      </c>
    </row>
    <row r="362" spans="1:11" ht="20.100000000000001" customHeight="1" x14ac:dyDescent="0.25">
      <c r="A362" s="12" t="s">
        <v>1296</v>
      </c>
      <c r="B362" s="13">
        <v>13770172</v>
      </c>
      <c r="C362" s="8">
        <v>814760023717</v>
      </c>
      <c r="D362" s="6" t="s">
        <v>232</v>
      </c>
      <c r="E362" s="18">
        <v>1</v>
      </c>
      <c r="F362" s="14">
        <v>31.99</v>
      </c>
      <c r="G362" s="14">
        <v>31.99</v>
      </c>
      <c r="H362" s="7" t="s">
        <v>941</v>
      </c>
      <c r="I362" s="7" t="s">
        <v>939</v>
      </c>
      <c r="J362" s="7" t="s">
        <v>953</v>
      </c>
      <c r="K362" s="7" t="str">
        <f>HYPERLINK("http://slimages.macys.com/is/image/MCY/10681725 ")</f>
        <v xml:space="preserve">http://slimages.macys.com/is/image/MCY/10681725 </v>
      </c>
    </row>
    <row r="363" spans="1:11" ht="20.100000000000001" customHeight="1" x14ac:dyDescent="0.25">
      <c r="A363" s="12" t="s">
        <v>1296</v>
      </c>
      <c r="B363" s="13">
        <v>13770172</v>
      </c>
      <c r="C363" s="8">
        <v>814760024127</v>
      </c>
      <c r="D363" s="6" t="s">
        <v>233</v>
      </c>
      <c r="E363" s="18">
        <v>1</v>
      </c>
      <c r="F363" s="14">
        <v>64.989999999999995</v>
      </c>
      <c r="G363" s="14">
        <v>64.989999999999995</v>
      </c>
      <c r="H363" s="7" t="s">
        <v>997</v>
      </c>
      <c r="I363" s="7" t="s">
        <v>939</v>
      </c>
      <c r="J363" s="7" t="s">
        <v>953</v>
      </c>
      <c r="K363" s="7" t="str">
        <f>HYPERLINK("http://slimages.macys.com/is/image/MCY/10681803 ")</f>
        <v xml:space="preserve">http://slimages.macys.com/is/image/MCY/10681803 </v>
      </c>
    </row>
    <row r="364" spans="1:11" ht="20.100000000000001" customHeight="1" x14ac:dyDescent="0.25">
      <c r="A364" s="12" t="s">
        <v>1296</v>
      </c>
      <c r="B364" s="13">
        <v>13770172</v>
      </c>
      <c r="C364" s="8">
        <v>814760024707</v>
      </c>
      <c r="D364" s="6" t="s">
        <v>234</v>
      </c>
      <c r="E364" s="18">
        <v>1</v>
      </c>
      <c r="F364" s="14">
        <v>18.989999999999998</v>
      </c>
      <c r="G364" s="14">
        <v>18.989999999999998</v>
      </c>
      <c r="H364" s="7" t="s">
        <v>1016</v>
      </c>
      <c r="I364" s="7" t="s">
        <v>939</v>
      </c>
      <c r="J364" s="7" t="s">
        <v>953</v>
      </c>
      <c r="K364" s="7" t="str">
        <f>HYPERLINK("http://slimages.macys.com/is/image/MCY/10683273 ")</f>
        <v xml:space="preserve">http://slimages.macys.com/is/image/MCY/10683273 </v>
      </c>
    </row>
    <row r="365" spans="1:11" ht="20.100000000000001" customHeight="1" x14ac:dyDescent="0.25">
      <c r="A365" s="12" t="s">
        <v>1296</v>
      </c>
      <c r="B365" s="13">
        <v>13770172</v>
      </c>
      <c r="C365" s="8">
        <v>814760025322</v>
      </c>
      <c r="D365" s="6" t="s">
        <v>235</v>
      </c>
      <c r="E365" s="18">
        <v>1</v>
      </c>
      <c r="F365" s="14">
        <v>41.99</v>
      </c>
      <c r="G365" s="14">
        <v>41.99</v>
      </c>
      <c r="H365" s="7" t="s">
        <v>997</v>
      </c>
      <c r="I365" s="7" t="s">
        <v>939</v>
      </c>
      <c r="J365" s="7" t="s">
        <v>953</v>
      </c>
      <c r="K365" s="7" t="str">
        <f>HYPERLINK("http://slimages.macys.com/is/image/MCY/10683177 ")</f>
        <v xml:space="preserve">http://slimages.macys.com/is/image/MCY/10683177 </v>
      </c>
    </row>
    <row r="366" spans="1:11" ht="20.100000000000001" customHeight="1" x14ac:dyDescent="0.25">
      <c r="A366" s="12" t="s">
        <v>1296</v>
      </c>
      <c r="B366" s="13">
        <v>13770172</v>
      </c>
      <c r="C366" s="8">
        <v>814760027319</v>
      </c>
      <c r="D366" s="6" t="s">
        <v>236</v>
      </c>
      <c r="E366" s="18">
        <v>1</v>
      </c>
      <c r="F366" s="14">
        <v>41.99</v>
      </c>
      <c r="G366" s="14">
        <v>41.99</v>
      </c>
      <c r="H366" s="7" t="s">
        <v>1157</v>
      </c>
      <c r="I366" s="7" t="s">
        <v>939</v>
      </c>
      <c r="J366" s="7" t="s">
        <v>953</v>
      </c>
      <c r="K366" s="7" t="str">
        <f>HYPERLINK("http://slimages.macys.com/is/image/MCY/10683018 ")</f>
        <v xml:space="preserve">http://slimages.macys.com/is/image/MCY/10683018 </v>
      </c>
    </row>
    <row r="367" spans="1:11" ht="20.100000000000001" customHeight="1" x14ac:dyDescent="0.25">
      <c r="A367" s="12" t="s">
        <v>1296</v>
      </c>
      <c r="B367" s="13">
        <v>13770172</v>
      </c>
      <c r="C367" s="8">
        <v>815584024683</v>
      </c>
      <c r="D367" s="6" t="s">
        <v>237</v>
      </c>
      <c r="E367" s="18">
        <v>1</v>
      </c>
      <c r="F367" s="14">
        <v>22</v>
      </c>
      <c r="G367" s="14">
        <v>22</v>
      </c>
      <c r="H367" s="7" t="s">
        <v>965</v>
      </c>
      <c r="I367" s="7" t="s">
        <v>942</v>
      </c>
      <c r="J367" s="7" t="s">
        <v>1260</v>
      </c>
      <c r="K367" s="7" t="str">
        <f>HYPERLINK("http://slimages.macys.com/is/image/MCY/15410341 ")</f>
        <v xml:space="preserve">http://slimages.macys.com/is/image/MCY/15410341 </v>
      </c>
    </row>
    <row r="368" spans="1:11" ht="20.100000000000001" customHeight="1" x14ac:dyDescent="0.25">
      <c r="A368" s="12" t="s">
        <v>1296</v>
      </c>
      <c r="B368" s="13">
        <v>13770172</v>
      </c>
      <c r="C368" s="8">
        <v>815584024683</v>
      </c>
      <c r="D368" s="6" t="s">
        <v>237</v>
      </c>
      <c r="E368" s="18">
        <v>1</v>
      </c>
      <c r="F368" s="14">
        <v>22</v>
      </c>
      <c r="G368" s="14">
        <v>22</v>
      </c>
      <c r="H368" s="7" t="s">
        <v>965</v>
      </c>
      <c r="I368" s="7" t="s">
        <v>942</v>
      </c>
      <c r="J368" s="7" t="s">
        <v>1260</v>
      </c>
      <c r="K368" s="7" t="str">
        <f>HYPERLINK("http://slimages.macys.com/is/image/MCY/15410341 ")</f>
        <v xml:space="preserve">http://slimages.macys.com/is/image/MCY/15410341 </v>
      </c>
    </row>
    <row r="369" spans="1:11" ht="20.100000000000001" customHeight="1" x14ac:dyDescent="0.25">
      <c r="A369" s="12" t="s">
        <v>1296</v>
      </c>
      <c r="B369" s="13">
        <v>13770172</v>
      </c>
      <c r="C369" s="8">
        <v>816651021901</v>
      </c>
      <c r="D369" s="6" t="s">
        <v>238</v>
      </c>
      <c r="E369" s="18">
        <v>1</v>
      </c>
      <c r="F369" s="14">
        <v>49.99</v>
      </c>
      <c r="G369" s="14">
        <v>49.99</v>
      </c>
      <c r="H369" s="7" t="s">
        <v>944</v>
      </c>
      <c r="I369" s="7" t="s">
        <v>939</v>
      </c>
      <c r="J369" s="7" t="s">
        <v>953</v>
      </c>
      <c r="K369" s="7" t="str">
        <f>HYPERLINK("http://slimages.macys.com/is/image/MCY/10721521 ")</f>
        <v xml:space="preserve">http://slimages.macys.com/is/image/MCY/10721521 </v>
      </c>
    </row>
    <row r="370" spans="1:11" ht="20.100000000000001" customHeight="1" x14ac:dyDescent="0.25">
      <c r="A370" s="12" t="s">
        <v>1296</v>
      </c>
      <c r="B370" s="13">
        <v>13770172</v>
      </c>
      <c r="C370" s="8">
        <v>816651022731</v>
      </c>
      <c r="D370" s="6" t="s">
        <v>239</v>
      </c>
      <c r="E370" s="18">
        <v>1</v>
      </c>
      <c r="F370" s="14">
        <v>48.99</v>
      </c>
      <c r="G370" s="14">
        <v>48.99</v>
      </c>
      <c r="H370" s="7" t="s">
        <v>944</v>
      </c>
      <c r="I370" s="7" t="s">
        <v>939</v>
      </c>
      <c r="J370" s="7" t="s">
        <v>953</v>
      </c>
      <c r="K370" s="7" t="str">
        <f>HYPERLINK("http://slimages.macys.com/is/image/MCY/10682328 ")</f>
        <v xml:space="preserve">http://slimages.macys.com/is/image/MCY/10682328 </v>
      </c>
    </row>
    <row r="371" spans="1:11" ht="20.100000000000001" customHeight="1" x14ac:dyDescent="0.25">
      <c r="A371" s="12" t="s">
        <v>1296</v>
      </c>
      <c r="B371" s="13">
        <v>13770172</v>
      </c>
      <c r="C371" s="8">
        <v>816651025558</v>
      </c>
      <c r="D371" s="6" t="s">
        <v>485</v>
      </c>
      <c r="E371" s="18">
        <v>1</v>
      </c>
      <c r="F371" s="14">
        <v>74.989999999999995</v>
      </c>
      <c r="G371" s="14">
        <v>74.989999999999995</v>
      </c>
      <c r="H371" s="7" t="s">
        <v>950</v>
      </c>
      <c r="I371" s="7" t="s">
        <v>939</v>
      </c>
      <c r="J371" s="7" t="s">
        <v>953</v>
      </c>
      <c r="K371" s="7" t="str">
        <f>HYPERLINK("http://slimages.macys.com/is/image/MCY/10682478 ")</f>
        <v xml:space="preserve">http://slimages.macys.com/is/image/MCY/10682478 </v>
      </c>
    </row>
    <row r="372" spans="1:11" ht="20.100000000000001" customHeight="1" x14ac:dyDescent="0.25">
      <c r="A372" s="12" t="s">
        <v>1296</v>
      </c>
      <c r="B372" s="13">
        <v>13770172</v>
      </c>
      <c r="C372" s="8">
        <v>819843017485</v>
      </c>
      <c r="D372" s="6" t="s">
        <v>240</v>
      </c>
      <c r="E372" s="18">
        <v>1</v>
      </c>
      <c r="F372" s="14">
        <v>70.989999999999995</v>
      </c>
      <c r="G372" s="14">
        <v>70.989999999999995</v>
      </c>
      <c r="H372" s="7" t="s">
        <v>941</v>
      </c>
      <c r="I372" s="7" t="s">
        <v>1033</v>
      </c>
      <c r="J372" s="7" t="s">
        <v>1111</v>
      </c>
      <c r="K372" s="7" t="str">
        <f>HYPERLINK("http://slimages.macys.com/is/image/MCY/10753703 ")</f>
        <v xml:space="preserve">http://slimages.macys.com/is/image/MCY/10753703 </v>
      </c>
    </row>
    <row r="373" spans="1:11" ht="20.100000000000001" customHeight="1" x14ac:dyDescent="0.25">
      <c r="A373" s="12" t="s">
        <v>1296</v>
      </c>
      <c r="B373" s="13">
        <v>13770172</v>
      </c>
      <c r="C373" s="8">
        <v>840008332556</v>
      </c>
      <c r="D373" s="6" t="s">
        <v>241</v>
      </c>
      <c r="E373" s="18">
        <v>1</v>
      </c>
      <c r="F373" s="14">
        <v>44.99</v>
      </c>
      <c r="G373" s="14">
        <v>44.99</v>
      </c>
      <c r="H373" s="7" t="s">
        <v>941</v>
      </c>
      <c r="I373" s="7" t="s">
        <v>942</v>
      </c>
      <c r="J373" s="7" t="s">
        <v>1085</v>
      </c>
      <c r="K373" s="7" t="str">
        <f>HYPERLINK("http://slimages.macys.com/is/image/MCY/15059862 ")</f>
        <v xml:space="preserve">http://slimages.macys.com/is/image/MCY/15059862 </v>
      </c>
    </row>
    <row r="374" spans="1:11" ht="20.100000000000001" customHeight="1" x14ac:dyDescent="0.25">
      <c r="A374" s="12" t="s">
        <v>1296</v>
      </c>
      <c r="B374" s="13">
        <v>13770172</v>
      </c>
      <c r="C374" s="8">
        <v>840037205975</v>
      </c>
      <c r="D374" s="6" t="s">
        <v>242</v>
      </c>
      <c r="E374" s="18">
        <v>1</v>
      </c>
      <c r="F374" s="14">
        <v>29.99</v>
      </c>
      <c r="G374" s="14">
        <v>29.99</v>
      </c>
      <c r="H374" s="7" t="s">
        <v>1168</v>
      </c>
      <c r="I374" s="7" t="s">
        <v>958</v>
      </c>
      <c r="J374" s="7" t="s">
        <v>1237</v>
      </c>
      <c r="K374" s="7" t="str">
        <f>HYPERLINK("http://slimages.macys.com/is/image/MCY/19069706 ")</f>
        <v xml:space="preserve">http://slimages.macys.com/is/image/MCY/19069706 </v>
      </c>
    </row>
    <row r="375" spans="1:11" ht="20.100000000000001" customHeight="1" x14ac:dyDescent="0.25">
      <c r="A375" s="12" t="s">
        <v>1296</v>
      </c>
      <c r="B375" s="13">
        <v>13770172</v>
      </c>
      <c r="C375" s="8">
        <v>840444117687</v>
      </c>
      <c r="D375" s="6" t="s">
        <v>243</v>
      </c>
      <c r="E375" s="18">
        <v>1</v>
      </c>
      <c r="F375" s="14">
        <v>85.99</v>
      </c>
      <c r="G375" s="14">
        <v>85.99</v>
      </c>
      <c r="H375" s="7" t="s">
        <v>1052</v>
      </c>
      <c r="I375" s="7" t="s">
        <v>945</v>
      </c>
      <c r="J375" s="7" t="s">
        <v>946</v>
      </c>
      <c r="K375" s="7" t="str">
        <f>HYPERLINK("http://slimages.macys.com/is/image/MCY/10144724 ")</f>
        <v xml:space="preserve">http://slimages.macys.com/is/image/MCY/10144724 </v>
      </c>
    </row>
    <row r="376" spans="1:11" ht="20.100000000000001" customHeight="1" x14ac:dyDescent="0.25">
      <c r="A376" s="12" t="s">
        <v>1296</v>
      </c>
      <c r="B376" s="13">
        <v>13770172</v>
      </c>
      <c r="C376" s="8">
        <v>840444121554</v>
      </c>
      <c r="D376" s="6" t="s">
        <v>244</v>
      </c>
      <c r="E376" s="18">
        <v>1</v>
      </c>
      <c r="F376" s="14">
        <v>199.99</v>
      </c>
      <c r="G376" s="14">
        <v>199.99</v>
      </c>
      <c r="H376" s="7" t="s">
        <v>950</v>
      </c>
      <c r="I376" s="7" t="s">
        <v>945</v>
      </c>
      <c r="J376" s="7" t="s">
        <v>946</v>
      </c>
      <c r="K376" s="7" t="str">
        <f>HYPERLINK("http://slimages.macys.com/is/image/MCY/10783769 ")</f>
        <v xml:space="preserve">http://slimages.macys.com/is/image/MCY/10783769 </v>
      </c>
    </row>
    <row r="377" spans="1:11" ht="20.100000000000001" customHeight="1" x14ac:dyDescent="0.25">
      <c r="A377" s="12" t="s">
        <v>1296</v>
      </c>
      <c r="B377" s="13">
        <v>13770172</v>
      </c>
      <c r="C377" s="8">
        <v>840444144690</v>
      </c>
      <c r="D377" s="6" t="s">
        <v>245</v>
      </c>
      <c r="E377" s="18">
        <v>1</v>
      </c>
      <c r="F377" s="14">
        <v>214.99</v>
      </c>
      <c r="G377" s="14">
        <v>214.99</v>
      </c>
      <c r="H377" s="7" t="s">
        <v>1036</v>
      </c>
      <c r="I377" s="7" t="s">
        <v>945</v>
      </c>
      <c r="J377" s="7" t="s">
        <v>946</v>
      </c>
      <c r="K377" s="7" t="str">
        <f>HYPERLINK("http://slimages.macys.com/is/image/MCY/10781288 ")</f>
        <v xml:space="preserve">http://slimages.macys.com/is/image/MCY/10781288 </v>
      </c>
    </row>
    <row r="378" spans="1:11" ht="20.100000000000001" customHeight="1" x14ac:dyDescent="0.25">
      <c r="A378" s="12" t="s">
        <v>1296</v>
      </c>
      <c r="B378" s="13">
        <v>13770172</v>
      </c>
      <c r="C378" s="8">
        <v>840970138729</v>
      </c>
      <c r="D378" s="6" t="s">
        <v>246</v>
      </c>
      <c r="E378" s="18">
        <v>1</v>
      </c>
      <c r="F378" s="14">
        <v>26.99</v>
      </c>
      <c r="G378" s="14">
        <v>26.99</v>
      </c>
      <c r="H378" s="7" t="s">
        <v>1062</v>
      </c>
      <c r="I378" s="7" t="s">
        <v>939</v>
      </c>
      <c r="J378" s="7" t="s">
        <v>1006</v>
      </c>
      <c r="K378" s="7" t="str">
        <f>HYPERLINK("http://slimages.macys.com/is/image/MCY/10069445 ")</f>
        <v xml:space="preserve">http://slimages.macys.com/is/image/MCY/10069445 </v>
      </c>
    </row>
    <row r="379" spans="1:11" ht="20.100000000000001" customHeight="1" x14ac:dyDescent="0.25">
      <c r="A379" s="12" t="s">
        <v>1296</v>
      </c>
      <c r="B379" s="13">
        <v>13770172</v>
      </c>
      <c r="C379" s="8">
        <v>840970155771</v>
      </c>
      <c r="D379" s="6" t="s">
        <v>247</v>
      </c>
      <c r="E379" s="18">
        <v>1</v>
      </c>
      <c r="F379" s="14">
        <v>29.99</v>
      </c>
      <c r="G379" s="14">
        <v>29.99</v>
      </c>
      <c r="H379" s="7" t="s">
        <v>1072</v>
      </c>
      <c r="I379" s="7" t="s">
        <v>939</v>
      </c>
      <c r="J379" s="7" t="s">
        <v>1006</v>
      </c>
      <c r="K379" s="7" t="str">
        <f>HYPERLINK("http://slimages.macys.com/is/image/MCY/13837414 ")</f>
        <v xml:space="preserve">http://slimages.macys.com/is/image/MCY/13837414 </v>
      </c>
    </row>
    <row r="380" spans="1:11" ht="20.100000000000001" customHeight="1" x14ac:dyDescent="0.25">
      <c r="A380" s="12" t="s">
        <v>1296</v>
      </c>
      <c r="B380" s="13">
        <v>13770172</v>
      </c>
      <c r="C380" s="8">
        <v>840970158208</v>
      </c>
      <c r="D380" s="6" t="s">
        <v>497</v>
      </c>
      <c r="E380" s="18">
        <v>1</v>
      </c>
      <c r="F380" s="14">
        <v>34.99</v>
      </c>
      <c r="G380" s="14">
        <v>34.99</v>
      </c>
      <c r="H380" s="7" t="s">
        <v>938</v>
      </c>
      <c r="I380" s="7" t="s">
        <v>939</v>
      </c>
      <c r="J380" s="7" t="s">
        <v>1006</v>
      </c>
      <c r="K380" s="7" t="str">
        <f>HYPERLINK("http://slimages.macys.com/is/image/MCY/15721492 ")</f>
        <v xml:space="preserve">http://slimages.macys.com/is/image/MCY/15721492 </v>
      </c>
    </row>
    <row r="381" spans="1:11" ht="20.100000000000001" customHeight="1" x14ac:dyDescent="0.25">
      <c r="A381" s="12" t="s">
        <v>1296</v>
      </c>
      <c r="B381" s="13">
        <v>13770172</v>
      </c>
      <c r="C381" s="8">
        <v>840970158215</v>
      </c>
      <c r="D381" s="6" t="s">
        <v>248</v>
      </c>
      <c r="E381" s="18">
        <v>1</v>
      </c>
      <c r="F381" s="14">
        <v>38.99</v>
      </c>
      <c r="G381" s="14">
        <v>38.99</v>
      </c>
      <c r="H381" s="7" t="s">
        <v>938</v>
      </c>
      <c r="I381" s="7" t="s">
        <v>939</v>
      </c>
      <c r="J381" s="7" t="s">
        <v>1006</v>
      </c>
      <c r="K381" s="7" t="str">
        <f>HYPERLINK("http://slimages.macys.com/is/image/MCY/15721472 ")</f>
        <v xml:space="preserve">http://slimages.macys.com/is/image/MCY/15721472 </v>
      </c>
    </row>
    <row r="382" spans="1:11" ht="20.100000000000001" customHeight="1" x14ac:dyDescent="0.25">
      <c r="A382" s="12" t="s">
        <v>1296</v>
      </c>
      <c r="B382" s="13">
        <v>13770172</v>
      </c>
      <c r="C382" s="8">
        <v>840970158215</v>
      </c>
      <c r="D382" s="6" t="s">
        <v>248</v>
      </c>
      <c r="E382" s="18">
        <v>1</v>
      </c>
      <c r="F382" s="14">
        <v>38.99</v>
      </c>
      <c r="G382" s="14">
        <v>38.99</v>
      </c>
      <c r="H382" s="7" t="s">
        <v>938</v>
      </c>
      <c r="I382" s="7" t="s">
        <v>939</v>
      </c>
      <c r="J382" s="7" t="s">
        <v>1006</v>
      </c>
      <c r="K382" s="7" t="str">
        <f>HYPERLINK("http://slimages.macys.com/is/image/MCY/15721472 ")</f>
        <v xml:space="preserve">http://slimages.macys.com/is/image/MCY/15721472 </v>
      </c>
    </row>
    <row r="383" spans="1:11" ht="20.100000000000001" customHeight="1" x14ac:dyDescent="0.25">
      <c r="A383" s="12" t="s">
        <v>1296</v>
      </c>
      <c r="B383" s="13">
        <v>13770172</v>
      </c>
      <c r="C383" s="8">
        <v>843145113965</v>
      </c>
      <c r="D383" s="6" t="s">
        <v>1436</v>
      </c>
      <c r="E383" s="18">
        <v>1</v>
      </c>
      <c r="F383" s="14">
        <v>199.99</v>
      </c>
      <c r="G383" s="14">
        <v>199.99</v>
      </c>
      <c r="H383" s="7"/>
      <c r="I383" s="7" t="s">
        <v>945</v>
      </c>
      <c r="J383" s="7" t="s">
        <v>946</v>
      </c>
      <c r="K383" s="7" t="str">
        <f>HYPERLINK("http://slimages.macys.com/is/image/MCY/11250421 ")</f>
        <v xml:space="preserve">http://slimages.macys.com/is/image/MCY/11250421 </v>
      </c>
    </row>
    <row r="384" spans="1:11" ht="20.100000000000001" customHeight="1" x14ac:dyDescent="0.25">
      <c r="A384" s="12" t="s">
        <v>1296</v>
      </c>
      <c r="B384" s="13">
        <v>13770172</v>
      </c>
      <c r="C384" s="8">
        <v>843669106795</v>
      </c>
      <c r="D384" s="6" t="s">
        <v>1205</v>
      </c>
      <c r="E384" s="18">
        <v>2</v>
      </c>
      <c r="F384" s="14">
        <v>28.99</v>
      </c>
      <c r="G384" s="14">
        <v>57.98</v>
      </c>
      <c r="H384" s="7" t="s">
        <v>984</v>
      </c>
      <c r="I384" s="7" t="s">
        <v>958</v>
      </c>
      <c r="J384" s="7" t="s">
        <v>1103</v>
      </c>
      <c r="K384" s="7" t="str">
        <f>HYPERLINK("http://slimages.macys.com/is/image/MCY/13056379 ")</f>
        <v xml:space="preserve">http://slimages.macys.com/is/image/MCY/13056379 </v>
      </c>
    </row>
    <row r="385" spans="1:11" ht="20.100000000000001" customHeight="1" x14ac:dyDescent="0.25">
      <c r="A385" s="12" t="s">
        <v>1296</v>
      </c>
      <c r="B385" s="13">
        <v>13770172</v>
      </c>
      <c r="C385" s="8">
        <v>843669106795</v>
      </c>
      <c r="D385" s="6" t="s">
        <v>1205</v>
      </c>
      <c r="E385" s="18">
        <v>1</v>
      </c>
      <c r="F385" s="14">
        <v>28.99</v>
      </c>
      <c r="G385" s="14">
        <v>28.99</v>
      </c>
      <c r="H385" s="7" t="s">
        <v>984</v>
      </c>
      <c r="I385" s="7" t="s">
        <v>958</v>
      </c>
      <c r="J385" s="7" t="s">
        <v>1103</v>
      </c>
      <c r="K385" s="7" t="str">
        <f>HYPERLINK("http://slimages.macys.com/is/image/MCY/13056379 ")</f>
        <v xml:space="preserve">http://slimages.macys.com/is/image/MCY/13056379 </v>
      </c>
    </row>
    <row r="386" spans="1:11" ht="20.100000000000001" customHeight="1" x14ac:dyDescent="0.25">
      <c r="A386" s="12" t="s">
        <v>1296</v>
      </c>
      <c r="B386" s="13">
        <v>13770172</v>
      </c>
      <c r="C386" s="8">
        <v>844353587142</v>
      </c>
      <c r="D386" s="6" t="s">
        <v>249</v>
      </c>
      <c r="E386" s="18">
        <v>1</v>
      </c>
      <c r="F386" s="14">
        <v>40.99</v>
      </c>
      <c r="G386" s="14">
        <v>40.99</v>
      </c>
      <c r="H386" s="7" t="s">
        <v>997</v>
      </c>
      <c r="I386" s="7" t="s">
        <v>947</v>
      </c>
      <c r="J386" s="7" t="s">
        <v>1071</v>
      </c>
      <c r="K386" s="7" t="str">
        <f>HYPERLINK("http://slimages.macys.com/is/image/MCY/10809229 ")</f>
        <v xml:space="preserve">http://slimages.macys.com/is/image/MCY/10809229 </v>
      </c>
    </row>
    <row r="387" spans="1:11" ht="20.100000000000001" customHeight="1" x14ac:dyDescent="0.25">
      <c r="A387" s="12" t="s">
        <v>1296</v>
      </c>
      <c r="B387" s="13">
        <v>13770172</v>
      </c>
      <c r="C387" s="8">
        <v>844353587289</v>
      </c>
      <c r="D387" s="6" t="s">
        <v>250</v>
      </c>
      <c r="E387" s="18">
        <v>2</v>
      </c>
      <c r="F387" s="14">
        <v>40.99</v>
      </c>
      <c r="G387" s="14">
        <v>81.98</v>
      </c>
      <c r="H387" s="7" t="s">
        <v>1052</v>
      </c>
      <c r="I387" s="7" t="s">
        <v>947</v>
      </c>
      <c r="J387" s="7" t="s">
        <v>1071</v>
      </c>
      <c r="K387" s="7" t="str">
        <f>HYPERLINK("http://slimages.macys.com/is/image/MCY/10809229 ")</f>
        <v xml:space="preserve">http://slimages.macys.com/is/image/MCY/10809229 </v>
      </c>
    </row>
    <row r="388" spans="1:11" ht="20.100000000000001" customHeight="1" x14ac:dyDescent="0.25">
      <c r="A388" s="12" t="s">
        <v>1296</v>
      </c>
      <c r="B388" s="13">
        <v>13770172</v>
      </c>
      <c r="C388" s="8">
        <v>844353602487</v>
      </c>
      <c r="D388" s="6" t="s">
        <v>251</v>
      </c>
      <c r="E388" s="18">
        <v>1</v>
      </c>
      <c r="F388" s="14">
        <v>40.99</v>
      </c>
      <c r="G388" s="14">
        <v>40.99</v>
      </c>
      <c r="H388" s="7" t="s">
        <v>950</v>
      </c>
      <c r="I388" s="7" t="s">
        <v>947</v>
      </c>
      <c r="J388" s="7" t="s">
        <v>1071</v>
      </c>
      <c r="K388" s="7" t="str">
        <f>HYPERLINK("http://slimages.macys.com/is/image/MCY/10809229 ")</f>
        <v xml:space="preserve">http://slimages.macys.com/is/image/MCY/10809229 </v>
      </c>
    </row>
    <row r="389" spans="1:11" ht="20.100000000000001" customHeight="1" x14ac:dyDescent="0.25">
      <c r="A389" s="12" t="s">
        <v>1296</v>
      </c>
      <c r="B389" s="13">
        <v>13770172</v>
      </c>
      <c r="C389" s="8">
        <v>844353606218</v>
      </c>
      <c r="D389" s="6" t="s">
        <v>252</v>
      </c>
      <c r="E389" s="18">
        <v>1</v>
      </c>
      <c r="F389" s="14">
        <v>46.99</v>
      </c>
      <c r="G389" s="14">
        <v>46.99</v>
      </c>
      <c r="H389" s="7" t="s">
        <v>950</v>
      </c>
      <c r="I389" s="7" t="s">
        <v>947</v>
      </c>
      <c r="J389" s="7" t="s">
        <v>1071</v>
      </c>
      <c r="K389" s="7" t="str">
        <f>HYPERLINK("http://slimages.macys.com/is/image/MCY/10809276 ")</f>
        <v xml:space="preserve">http://slimages.macys.com/is/image/MCY/10809276 </v>
      </c>
    </row>
    <row r="390" spans="1:11" ht="20.100000000000001" customHeight="1" x14ac:dyDescent="0.25">
      <c r="A390" s="12" t="s">
        <v>1296</v>
      </c>
      <c r="B390" s="13">
        <v>13770172</v>
      </c>
      <c r="C390" s="8">
        <v>844353995756</v>
      </c>
      <c r="D390" s="6" t="s">
        <v>253</v>
      </c>
      <c r="E390" s="18">
        <v>1</v>
      </c>
      <c r="F390" s="14">
        <v>189.99</v>
      </c>
      <c r="G390" s="14">
        <v>189.99</v>
      </c>
      <c r="H390" s="7" t="s">
        <v>941</v>
      </c>
      <c r="I390" s="7" t="s">
        <v>947</v>
      </c>
      <c r="J390" s="7" t="s">
        <v>1071</v>
      </c>
      <c r="K390" s="7" t="str">
        <f>HYPERLINK("http://slimages.macys.com/is/image/MCY/14617812 ")</f>
        <v xml:space="preserve">http://slimages.macys.com/is/image/MCY/14617812 </v>
      </c>
    </row>
    <row r="391" spans="1:11" ht="20.100000000000001" customHeight="1" x14ac:dyDescent="0.25">
      <c r="A391" s="12" t="s">
        <v>1296</v>
      </c>
      <c r="B391" s="13">
        <v>13770172</v>
      </c>
      <c r="C391" s="8">
        <v>846339088339</v>
      </c>
      <c r="D391" s="6" t="s">
        <v>515</v>
      </c>
      <c r="E391" s="18">
        <v>1</v>
      </c>
      <c r="F391" s="14">
        <v>69.989999999999995</v>
      </c>
      <c r="G391" s="14">
        <v>69.989999999999995</v>
      </c>
      <c r="H391" s="7" t="s">
        <v>1026</v>
      </c>
      <c r="I391" s="7" t="s">
        <v>966</v>
      </c>
      <c r="J391" s="7" t="s">
        <v>967</v>
      </c>
      <c r="K391" s="7" t="str">
        <f>HYPERLINK("http://slimages.macys.com/is/image/MCY/12936988 ")</f>
        <v xml:space="preserve">http://slimages.macys.com/is/image/MCY/12936988 </v>
      </c>
    </row>
    <row r="392" spans="1:11" ht="20.100000000000001" customHeight="1" x14ac:dyDescent="0.25">
      <c r="A392" s="12" t="s">
        <v>1296</v>
      </c>
      <c r="B392" s="13">
        <v>13770172</v>
      </c>
      <c r="C392" s="8">
        <v>846339092237</v>
      </c>
      <c r="D392" s="6" t="s">
        <v>254</v>
      </c>
      <c r="E392" s="18">
        <v>2</v>
      </c>
      <c r="F392" s="14">
        <v>69.989999999999995</v>
      </c>
      <c r="G392" s="14">
        <v>139.97999999999999</v>
      </c>
      <c r="H392" s="7" t="s">
        <v>1036</v>
      </c>
      <c r="I392" s="7" t="s">
        <v>966</v>
      </c>
      <c r="J392" s="7" t="s">
        <v>967</v>
      </c>
      <c r="K392" s="7" t="str">
        <f>HYPERLINK("http://slimages.macys.com/is/image/MCY/12791353 ")</f>
        <v xml:space="preserve">http://slimages.macys.com/is/image/MCY/12791353 </v>
      </c>
    </row>
    <row r="393" spans="1:11" ht="20.100000000000001" customHeight="1" x14ac:dyDescent="0.25">
      <c r="A393" s="12" t="s">
        <v>1296</v>
      </c>
      <c r="B393" s="13">
        <v>13770172</v>
      </c>
      <c r="C393" s="8">
        <v>848336096249</v>
      </c>
      <c r="D393" s="6" t="s">
        <v>255</v>
      </c>
      <c r="E393" s="18">
        <v>1</v>
      </c>
      <c r="F393" s="14">
        <v>191.99</v>
      </c>
      <c r="G393" s="14">
        <v>191.99</v>
      </c>
      <c r="H393" s="7" t="s">
        <v>950</v>
      </c>
      <c r="I393" s="7" t="s">
        <v>947</v>
      </c>
      <c r="J393" s="7" t="s">
        <v>1031</v>
      </c>
      <c r="K393" s="7" t="str">
        <f>HYPERLINK("http://slimages.macys.com/is/image/MCY/11629537 ")</f>
        <v xml:space="preserve">http://slimages.macys.com/is/image/MCY/11629537 </v>
      </c>
    </row>
    <row r="394" spans="1:11" ht="20.100000000000001" customHeight="1" x14ac:dyDescent="0.25">
      <c r="A394" s="12" t="s">
        <v>1296</v>
      </c>
      <c r="B394" s="13">
        <v>13770172</v>
      </c>
      <c r="C394" s="8">
        <v>848405050523</v>
      </c>
      <c r="D394" s="6" t="s">
        <v>256</v>
      </c>
      <c r="E394" s="18">
        <v>1</v>
      </c>
      <c r="F394" s="14">
        <v>4.99</v>
      </c>
      <c r="G394" s="14">
        <v>4.99</v>
      </c>
      <c r="H394" s="7" t="s">
        <v>991</v>
      </c>
      <c r="I394" s="7" t="s">
        <v>1033</v>
      </c>
      <c r="J394" s="7" t="s">
        <v>1061</v>
      </c>
      <c r="K394" s="7" t="str">
        <f>HYPERLINK("http://slimages.macys.com/is/image/MCY/18764603 ")</f>
        <v xml:space="preserve">http://slimages.macys.com/is/image/MCY/18764603 </v>
      </c>
    </row>
    <row r="395" spans="1:11" ht="20.100000000000001" customHeight="1" x14ac:dyDescent="0.25">
      <c r="A395" s="12" t="s">
        <v>1296</v>
      </c>
      <c r="B395" s="13">
        <v>13770172</v>
      </c>
      <c r="C395" s="8">
        <v>848742072486</v>
      </c>
      <c r="D395" s="6" t="s">
        <v>257</v>
      </c>
      <c r="E395" s="18">
        <v>1</v>
      </c>
      <c r="F395" s="14">
        <v>44.99</v>
      </c>
      <c r="G395" s="14">
        <v>44.99</v>
      </c>
      <c r="H395" s="7" t="s">
        <v>950</v>
      </c>
      <c r="I395" s="7" t="s">
        <v>958</v>
      </c>
      <c r="J395" s="7" t="s">
        <v>949</v>
      </c>
      <c r="K395" s="7" t="str">
        <f>HYPERLINK("http://slimages.macys.com/is/image/MCY/13299221 ")</f>
        <v xml:space="preserve">http://slimages.macys.com/is/image/MCY/13299221 </v>
      </c>
    </row>
    <row r="396" spans="1:11" ht="20.100000000000001" customHeight="1" x14ac:dyDescent="0.25">
      <c r="A396" s="12" t="s">
        <v>1296</v>
      </c>
      <c r="B396" s="13">
        <v>13770172</v>
      </c>
      <c r="C396" s="8">
        <v>857288005544</v>
      </c>
      <c r="D396" s="6" t="s">
        <v>258</v>
      </c>
      <c r="E396" s="18">
        <v>1</v>
      </c>
      <c r="F396" s="14">
        <v>118.99</v>
      </c>
      <c r="G396" s="14">
        <v>118.99</v>
      </c>
      <c r="H396" s="7" t="s">
        <v>941</v>
      </c>
      <c r="I396" s="7" t="s">
        <v>939</v>
      </c>
      <c r="J396" s="7" t="s">
        <v>953</v>
      </c>
      <c r="K396" s="7" t="str">
        <f>HYPERLINK("http://slimages.macys.com/is/image/MCY/10683459 ")</f>
        <v xml:space="preserve">http://slimages.macys.com/is/image/MCY/10683459 </v>
      </c>
    </row>
    <row r="397" spans="1:11" ht="20.100000000000001" customHeight="1" x14ac:dyDescent="0.25">
      <c r="A397" s="12" t="s">
        <v>1296</v>
      </c>
      <c r="B397" s="13">
        <v>13770172</v>
      </c>
      <c r="C397" s="8">
        <v>857525008031</v>
      </c>
      <c r="D397" s="6" t="s">
        <v>259</v>
      </c>
      <c r="E397" s="18">
        <v>1</v>
      </c>
      <c r="F397" s="14">
        <v>419.99</v>
      </c>
      <c r="G397" s="14">
        <v>419.99</v>
      </c>
      <c r="H397" s="7" t="s">
        <v>941</v>
      </c>
      <c r="I397" s="7" t="s">
        <v>942</v>
      </c>
      <c r="J397" s="7" t="s">
        <v>1212</v>
      </c>
      <c r="K397" s="7" t="str">
        <f>HYPERLINK("http://slimages.macys.com/is/image/MCY/10036006 ")</f>
        <v xml:space="preserve">http://slimages.macys.com/is/image/MCY/10036006 </v>
      </c>
    </row>
    <row r="398" spans="1:11" ht="20.100000000000001" customHeight="1" x14ac:dyDescent="0.25">
      <c r="A398" s="12" t="s">
        <v>1296</v>
      </c>
      <c r="B398" s="13">
        <v>13770172</v>
      </c>
      <c r="C398" s="8">
        <v>883893217065</v>
      </c>
      <c r="D398" s="6" t="s">
        <v>260</v>
      </c>
      <c r="E398" s="18">
        <v>1</v>
      </c>
      <c r="F398" s="14">
        <v>24.99</v>
      </c>
      <c r="G398" s="14">
        <v>24.99</v>
      </c>
      <c r="H398" s="7" t="s">
        <v>950</v>
      </c>
      <c r="I398" s="7" t="s">
        <v>947</v>
      </c>
      <c r="J398" s="7" t="s">
        <v>1029</v>
      </c>
      <c r="K398" s="7" t="str">
        <f>HYPERLINK("http://slimages.macys.com/is/image/MCY/10320662 ")</f>
        <v xml:space="preserve">http://slimages.macys.com/is/image/MCY/10320662 </v>
      </c>
    </row>
    <row r="399" spans="1:11" ht="20.100000000000001" customHeight="1" x14ac:dyDescent="0.25">
      <c r="A399" s="12" t="s">
        <v>1296</v>
      </c>
      <c r="B399" s="13">
        <v>13770172</v>
      </c>
      <c r="C399" s="8">
        <v>883893433199</v>
      </c>
      <c r="D399" s="6" t="s">
        <v>261</v>
      </c>
      <c r="E399" s="18">
        <v>2</v>
      </c>
      <c r="F399" s="14">
        <v>78.11</v>
      </c>
      <c r="G399" s="14">
        <v>156.22</v>
      </c>
      <c r="H399" s="7"/>
      <c r="I399" s="7" t="s">
        <v>1003</v>
      </c>
      <c r="J399" s="7" t="s">
        <v>1053</v>
      </c>
      <c r="K399" s="7" t="str">
        <f>HYPERLINK("http://slimages.macys.com/is/image/MCY/8289315 ")</f>
        <v xml:space="preserve">http://slimages.macys.com/is/image/MCY/8289315 </v>
      </c>
    </row>
    <row r="400" spans="1:11" ht="20.100000000000001" customHeight="1" x14ac:dyDescent="0.25">
      <c r="A400" s="12" t="s">
        <v>1296</v>
      </c>
      <c r="B400" s="13">
        <v>13770172</v>
      </c>
      <c r="C400" s="8">
        <v>883893441477</v>
      </c>
      <c r="D400" s="6" t="s">
        <v>262</v>
      </c>
      <c r="E400" s="18">
        <v>1</v>
      </c>
      <c r="F400" s="14">
        <v>129.99</v>
      </c>
      <c r="G400" s="14">
        <v>129.99</v>
      </c>
      <c r="H400" s="7" t="s">
        <v>1095</v>
      </c>
      <c r="I400" s="7" t="s">
        <v>966</v>
      </c>
      <c r="J400" s="7" t="s">
        <v>1064</v>
      </c>
      <c r="K400" s="7" t="str">
        <f>HYPERLINK("http://slimages.macys.com/is/image/MCY/15135102 ")</f>
        <v xml:space="preserve">http://slimages.macys.com/is/image/MCY/15135102 </v>
      </c>
    </row>
    <row r="401" spans="1:11" ht="20.100000000000001" customHeight="1" x14ac:dyDescent="0.25">
      <c r="A401" s="12" t="s">
        <v>1296</v>
      </c>
      <c r="B401" s="13">
        <v>13770172</v>
      </c>
      <c r="C401" s="8">
        <v>883893481374</v>
      </c>
      <c r="D401" s="6" t="s">
        <v>263</v>
      </c>
      <c r="E401" s="18">
        <v>1</v>
      </c>
      <c r="F401" s="14">
        <v>69.989999999999995</v>
      </c>
      <c r="G401" s="14">
        <v>69.989999999999995</v>
      </c>
      <c r="H401" s="7" t="s">
        <v>1095</v>
      </c>
      <c r="I401" s="7" t="s">
        <v>966</v>
      </c>
      <c r="J401" s="7" t="s">
        <v>1164</v>
      </c>
      <c r="K401" s="7" t="str">
        <f>HYPERLINK("http://slimages.macys.com/is/image/MCY/11835233 ")</f>
        <v xml:space="preserve">http://slimages.macys.com/is/image/MCY/11835233 </v>
      </c>
    </row>
    <row r="402" spans="1:11" ht="20.100000000000001" customHeight="1" x14ac:dyDescent="0.25">
      <c r="A402" s="12" t="s">
        <v>1296</v>
      </c>
      <c r="B402" s="13">
        <v>13770172</v>
      </c>
      <c r="C402" s="8">
        <v>883893531543</v>
      </c>
      <c r="D402" s="6" t="s">
        <v>264</v>
      </c>
      <c r="E402" s="18">
        <v>3</v>
      </c>
      <c r="F402" s="14">
        <v>44.99</v>
      </c>
      <c r="G402" s="14">
        <v>134.97</v>
      </c>
      <c r="H402" s="7" t="s">
        <v>997</v>
      </c>
      <c r="I402" s="7" t="s">
        <v>966</v>
      </c>
      <c r="J402" s="7" t="s">
        <v>1164</v>
      </c>
      <c r="K402" s="7" t="str">
        <f>HYPERLINK("http://slimages.macys.com/is/image/MCY/9274509 ")</f>
        <v xml:space="preserve">http://slimages.macys.com/is/image/MCY/9274509 </v>
      </c>
    </row>
    <row r="403" spans="1:11" ht="20.100000000000001" customHeight="1" x14ac:dyDescent="0.25">
      <c r="A403" s="12" t="s">
        <v>1296</v>
      </c>
      <c r="B403" s="13">
        <v>13770172</v>
      </c>
      <c r="C403" s="8">
        <v>883893585690</v>
      </c>
      <c r="D403" s="6" t="s">
        <v>265</v>
      </c>
      <c r="E403" s="18">
        <v>1</v>
      </c>
      <c r="F403" s="14">
        <v>129.99</v>
      </c>
      <c r="G403" s="14">
        <v>129.99</v>
      </c>
      <c r="H403" s="7" t="s">
        <v>944</v>
      </c>
      <c r="I403" s="7" t="s">
        <v>1003</v>
      </c>
      <c r="J403" s="7" t="s">
        <v>1053</v>
      </c>
      <c r="K403" s="7" t="str">
        <f>HYPERLINK("http://slimages.macys.com/is/image/MCY/12829226 ")</f>
        <v xml:space="preserve">http://slimages.macys.com/is/image/MCY/12829226 </v>
      </c>
    </row>
    <row r="404" spans="1:11" ht="20.100000000000001" customHeight="1" x14ac:dyDescent="0.25">
      <c r="A404" s="12" t="s">
        <v>1296</v>
      </c>
      <c r="B404" s="13">
        <v>13770172</v>
      </c>
      <c r="C404" s="8">
        <v>883893594708</v>
      </c>
      <c r="D404" s="6" t="s">
        <v>266</v>
      </c>
      <c r="E404" s="18">
        <v>1</v>
      </c>
      <c r="F404" s="14">
        <v>129.99</v>
      </c>
      <c r="G404" s="14">
        <v>129.99</v>
      </c>
      <c r="H404" s="7" t="s">
        <v>944</v>
      </c>
      <c r="I404" s="7" t="s">
        <v>999</v>
      </c>
      <c r="J404" s="7" t="s">
        <v>1358</v>
      </c>
      <c r="K404" s="7" t="str">
        <f>HYPERLINK("http://slimages.macys.com/is/image/MCY/14763983 ")</f>
        <v xml:space="preserve">http://slimages.macys.com/is/image/MCY/14763983 </v>
      </c>
    </row>
    <row r="405" spans="1:11" ht="20.100000000000001" customHeight="1" x14ac:dyDescent="0.25">
      <c r="A405" s="12" t="s">
        <v>1296</v>
      </c>
      <c r="B405" s="13">
        <v>13770172</v>
      </c>
      <c r="C405" s="8">
        <v>883893611023</v>
      </c>
      <c r="D405" s="6" t="s">
        <v>267</v>
      </c>
      <c r="E405" s="18">
        <v>1</v>
      </c>
      <c r="F405" s="14">
        <v>179.99</v>
      </c>
      <c r="G405" s="14">
        <v>179.99</v>
      </c>
      <c r="H405" s="7" t="s">
        <v>941</v>
      </c>
      <c r="I405" s="7" t="s">
        <v>999</v>
      </c>
      <c r="J405" s="7" t="s">
        <v>1110</v>
      </c>
      <c r="K405" s="7" t="str">
        <f>HYPERLINK("http://slimages.macys.com/is/image/MCY/15069736 ")</f>
        <v xml:space="preserve">http://slimages.macys.com/is/image/MCY/15069736 </v>
      </c>
    </row>
    <row r="406" spans="1:11" ht="20.100000000000001" customHeight="1" x14ac:dyDescent="0.25">
      <c r="A406" s="12" t="s">
        <v>1296</v>
      </c>
      <c r="B406" s="13">
        <v>13770172</v>
      </c>
      <c r="C406" s="8">
        <v>883893613294</v>
      </c>
      <c r="D406" s="6" t="s">
        <v>268</v>
      </c>
      <c r="E406" s="18">
        <v>1</v>
      </c>
      <c r="F406" s="14">
        <v>44.99</v>
      </c>
      <c r="G406" s="14">
        <v>44.99</v>
      </c>
      <c r="H406" s="7" t="s">
        <v>1095</v>
      </c>
      <c r="I406" s="7" t="s">
        <v>1003</v>
      </c>
      <c r="J406" s="7" t="s">
        <v>1053</v>
      </c>
      <c r="K406" s="7" t="str">
        <f>HYPERLINK("http://slimages.macys.com/is/image/MCY/13744493 ")</f>
        <v xml:space="preserve">http://slimages.macys.com/is/image/MCY/13744493 </v>
      </c>
    </row>
    <row r="407" spans="1:11" ht="20.100000000000001" customHeight="1" x14ac:dyDescent="0.25">
      <c r="A407" s="12" t="s">
        <v>1296</v>
      </c>
      <c r="B407" s="13">
        <v>13770172</v>
      </c>
      <c r="C407" s="8">
        <v>883893617858</v>
      </c>
      <c r="D407" s="6" t="s">
        <v>269</v>
      </c>
      <c r="E407" s="18">
        <v>1</v>
      </c>
      <c r="F407" s="14">
        <v>199.99</v>
      </c>
      <c r="G407" s="14">
        <v>199.99</v>
      </c>
      <c r="H407" s="7" t="s">
        <v>991</v>
      </c>
      <c r="I407" s="7" t="s">
        <v>1003</v>
      </c>
      <c r="J407" s="7" t="s">
        <v>1053</v>
      </c>
      <c r="K407" s="7" t="str">
        <f>HYPERLINK("http://slimages.macys.com/is/image/MCY/8289918 ")</f>
        <v xml:space="preserve">http://slimages.macys.com/is/image/MCY/8289918 </v>
      </c>
    </row>
    <row r="408" spans="1:11" ht="20.100000000000001" customHeight="1" x14ac:dyDescent="0.25">
      <c r="A408" s="12" t="s">
        <v>1296</v>
      </c>
      <c r="B408" s="13">
        <v>13770172</v>
      </c>
      <c r="C408" s="8">
        <v>883893628762</v>
      </c>
      <c r="D408" s="6" t="s">
        <v>270</v>
      </c>
      <c r="E408" s="18">
        <v>1</v>
      </c>
      <c r="F408" s="14">
        <v>49.99</v>
      </c>
      <c r="G408" s="14">
        <v>49.99</v>
      </c>
      <c r="H408" s="7" t="s">
        <v>941</v>
      </c>
      <c r="I408" s="7" t="s">
        <v>966</v>
      </c>
      <c r="J408" s="7" t="s">
        <v>1002</v>
      </c>
      <c r="K408" s="7" t="str">
        <f>HYPERLINK("http://slimages.macys.com/is/image/MCY/14792627 ")</f>
        <v xml:space="preserve">http://slimages.macys.com/is/image/MCY/14792627 </v>
      </c>
    </row>
    <row r="409" spans="1:11" ht="20.100000000000001" customHeight="1" x14ac:dyDescent="0.25">
      <c r="A409" s="12" t="s">
        <v>1296</v>
      </c>
      <c r="B409" s="13">
        <v>13770172</v>
      </c>
      <c r="C409" s="8">
        <v>883893644496</v>
      </c>
      <c r="D409" s="6" t="s">
        <v>271</v>
      </c>
      <c r="E409" s="18">
        <v>1</v>
      </c>
      <c r="F409" s="14">
        <v>129.99</v>
      </c>
      <c r="G409" s="14">
        <v>129.99</v>
      </c>
      <c r="H409" s="7" t="s">
        <v>944</v>
      </c>
      <c r="I409" s="7" t="s">
        <v>1003</v>
      </c>
      <c r="J409" s="7" t="s">
        <v>1053</v>
      </c>
      <c r="K409" s="7" t="str">
        <f>HYPERLINK("http://slimages.macys.com/is/image/MCY/16177018 ")</f>
        <v xml:space="preserve">http://slimages.macys.com/is/image/MCY/16177018 </v>
      </c>
    </row>
    <row r="410" spans="1:11" ht="20.100000000000001" customHeight="1" x14ac:dyDescent="0.25">
      <c r="A410" s="12" t="s">
        <v>1296</v>
      </c>
      <c r="B410" s="13">
        <v>13770172</v>
      </c>
      <c r="C410" s="8">
        <v>883893656758</v>
      </c>
      <c r="D410" s="6" t="s">
        <v>272</v>
      </c>
      <c r="E410" s="18">
        <v>1</v>
      </c>
      <c r="F410" s="14">
        <v>109.99</v>
      </c>
      <c r="G410" s="14">
        <v>109.99</v>
      </c>
      <c r="H410" s="7" t="s">
        <v>1001</v>
      </c>
      <c r="I410" s="7" t="s">
        <v>966</v>
      </c>
      <c r="J410" s="7" t="s">
        <v>1064</v>
      </c>
      <c r="K410" s="7" t="str">
        <f>HYPERLINK("http://slimages.macys.com/is/image/MCY/16510425 ")</f>
        <v xml:space="preserve">http://slimages.macys.com/is/image/MCY/16510425 </v>
      </c>
    </row>
    <row r="411" spans="1:11" ht="20.100000000000001" customHeight="1" x14ac:dyDescent="0.25">
      <c r="A411" s="12" t="s">
        <v>1296</v>
      </c>
      <c r="B411" s="13">
        <v>13770172</v>
      </c>
      <c r="C411" s="8">
        <v>883893691346</v>
      </c>
      <c r="D411" s="6" t="s">
        <v>273</v>
      </c>
      <c r="E411" s="18">
        <v>1</v>
      </c>
      <c r="F411" s="14">
        <v>99.99</v>
      </c>
      <c r="G411" s="14">
        <v>99.99</v>
      </c>
      <c r="H411" s="7" t="s">
        <v>1001</v>
      </c>
      <c r="I411" s="7" t="s">
        <v>966</v>
      </c>
      <c r="J411" s="7" t="s">
        <v>1164</v>
      </c>
      <c r="K411" s="7" t="str">
        <f>HYPERLINK("http://slimages.macys.com/is/image/MCY/17758207 ")</f>
        <v xml:space="preserve">http://slimages.macys.com/is/image/MCY/17758207 </v>
      </c>
    </row>
    <row r="412" spans="1:11" ht="20.100000000000001" customHeight="1" x14ac:dyDescent="0.25">
      <c r="A412" s="12" t="s">
        <v>1296</v>
      </c>
      <c r="B412" s="13">
        <v>13770172</v>
      </c>
      <c r="C412" s="8">
        <v>883893691865</v>
      </c>
      <c r="D412" s="6" t="s">
        <v>274</v>
      </c>
      <c r="E412" s="18">
        <v>1</v>
      </c>
      <c r="F412" s="14">
        <v>109.99</v>
      </c>
      <c r="G412" s="14">
        <v>109.99</v>
      </c>
      <c r="H412" s="7" t="s">
        <v>941</v>
      </c>
      <c r="I412" s="7" t="s">
        <v>1003</v>
      </c>
      <c r="J412" s="7" t="s">
        <v>1053</v>
      </c>
      <c r="K412" s="7" t="str">
        <f>HYPERLINK("http://slimages.macys.com/is/image/MCY/17788014 ")</f>
        <v xml:space="preserve">http://slimages.macys.com/is/image/MCY/17788014 </v>
      </c>
    </row>
    <row r="413" spans="1:11" ht="20.100000000000001" customHeight="1" x14ac:dyDescent="0.25">
      <c r="A413" s="12" t="s">
        <v>1296</v>
      </c>
      <c r="B413" s="13">
        <v>13770172</v>
      </c>
      <c r="C413" s="8">
        <v>883893702035</v>
      </c>
      <c r="D413" s="6" t="s">
        <v>275</v>
      </c>
      <c r="E413" s="18">
        <v>1</v>
      </c>
      <c r="F413" s="14">
        <v>229.99</v>
      </c>
      <c r="G413" s="14">
        <v>229.99</v>
      </c>
      <c r="H413" s="7" t="s">
        <v>988</v>
      </c>
      <c r="I413" s="7" t="s">
        <v>1003</v>
      </c>
      <c r="J413" s="7" t="s">
        <v>1053</v>
      </c>
      <c r="K413" s="7" t="str">
        <f>HYPERLINK("http://slimages.macys.com/is/image/MCY/17730380 ")</f>
        <v xml:space="preserve">http://slimages.macys.com/is/image/MCY/17730380 </v>
      </c>
    </row>
    <row r="414" spans="1:11" ht="20.100000000000001" customHeight="1" x14ac:dyDescent="0.25">
      <c r="A414" s="12" t="s">
        <v>1296</v>
      </c>
      <c r="B414" s="13">
        <v>13770172</v>
      </c>
      <c r="C414" s="8">
        <v>885308189066</v>
      </c>
      <c r="D414" s="6" t="s">
        <v>276</v>
      </c>
      <c r="E414" s="18">
        <v>2</v>
      </c>
      <c r="F414" s="14">
        <v>33.99</v>
      </c>
      <c r="G414" s="14">
        <v>67.98</v>
      </c>
      <c r="H414" s="7" t="s">
        <v>984</v>
      </c>
      <c r="I414" s="7" t="s">
        <v>947</v>
      </c>
      <c r="J414" s="7" t="s">
        <v>1141</v>
      </c>
      <c r="K414" s="7" t="str">
        <f>HYPERLINK("http://slimages.macys.com/is/image/MCY/11543961 ")</f>
        <v xml:space="preserve">http://slimages.macys.com/is/image/MCY/11543961 </v>
      </c>
    </row>
    <row r="415" spans="1:11" ht="20.100000000000001" customHeight="1" x14ac:dyDescent="0.25">
      <c r="A415" s="12" t="s">
        <v>1296</v>
      </c>
      <c r="B415" s="13">
        <v>13770172</v>
      </c>
      <c r="C415" s="8">
        <v>885830136880</v>
      </c>
      <c r="D415" s="6" t="s">
        <v>277</v>
      </c>
      <c r="E415" s="18">
        <v>1</v>
      </c>
      <c r="F415" s="14">
        <v>35.99</v>
      </c>
      <c r="G415" s="14">
        <v>35.99</v>
      </c>
      <c r="H415" s="7" t="s">
        <v>1013</v>
      </c>
      <c r="I415" s="7" t="s">
        <v>958</v>
      </c>
      <c r="J415" s="7" t="s">
        <v>278</v>
      </c>
      <c r="K415" s="7" t="str">
        <f>HYPERLINK("http://slimages.macys.com/is/image/MCY/18798606 ")</f>
        <v xml:space="preserve">http://slimages.macys.com/is/image/MCY/18798606 </v>
      </c>
    </row>
    <row r="416" spans="1:11" ht="20.100000000000001" customHeight="1" x14ac:dyDescent="0.25">
      <c r="A416" s="12" t="s">
        <v>1296</v>
      </c>
      <c r="B416" s="13">
        <v>13770172</v>
      </c>
      <c r="C416" s="8">
        <v>6952658831861</v>
      </c>
      <c r="D416" s="6" t="s">
        <v>279</v>
      </c>
      <c r="E416" s="18">
        <v>2</v>
      </c>
      <c r="F416" s="14">
        <v>17.989999999999998</v>
      </c>
      <c r="G416" s="14">
        <v>35.979999999999997</v>
      </c>
      <c r="H416" s="7" t="s">
        <v>1082</v>
      </c>
      <c r="I416" s="7" t="s">
        <v>947</v>
      </c>
      <c r="J416" s="7" t="s">
        <v>549</v>
      </c>
      <c r="K416" s="7" t="str">
        <f>HYPERLINK("http://slimages.macys.com/is/image/MCY/14546431 ")</f>
        <v xml:space="preserve">http://slimages.macys.com/is/image/MCY/14546431 </v>
      </c>
    </row>
    <row r="417" spans="1:11" ht="20.100000000000001" customHeight="1" x14ac:dyDescent="0.25">
      <c r="A417" s="12" t="s">
        <v>1296</v>
      </c>
      <c r="B417" s="13">
        <v>13770172</v>
      </c>
      <c r="C417" s="8">
        <v>733003889883</v>
      </c>
      <c r="D417" s="6" t="s">
        <v>280</v>
      </c>
      <c r="E417" s="18">
        <v>1</v>
      </c>
      <c r="F417" s="14">
        <v>119.99</v>
      </c>
      <c r="G417" s="14">
        <v>119.99</v>
      </c>
      <c r="H417" s="7" t="s">
        <v>941</v>
      </c>
      <c r="I417" s="7" t="s">
        <v>1332</v>
      </c>
      <c r="J417" s="7" t="s">
        <v>1353</v>
      </c>
      <c r="K417" s="7"/>
    </row>
    <row r="418" spans="1:11" ht="20.100000000000001" customHeight="1" x14ac:dyDescent="0.25">
      <c r="A418" s="12" t="s">
        <v>1296</v>
      </c>
      <c r="B418" s="13">
        <v>13770172</v>
      </c>
      <c r="C418" s="8">
        <v>733003194055</v>
      </c>
      <c r="D418" s="6" t="s">
        <v>281</v>
      </c>
      <c r="E418" s="18">
        <v>1</v>
      </c>
      <c r="F418" s="14">
        <v>49.99</v>
      </c>
      <c r="G418" s="14">
        <v>49.99</v>
      </c>
      <c r="H418" s="7" t="s">
        <v>944</v>
      </c>
      <c r="I418" s="7" t="s">
        <v>1097</v>
      </c>
      <c r="J418" s="7" t="s">
        <v>1098</v>
      </c>
      <c r="K418" s="7"/>
    </row>
    <row r="419" spans="1:11" ht="20.100000000000001" customHeight="1" x14ac:dyDescent="0.25">
      <c r="A419" s="12" t="s">
        <v>1296</v>
      </c>
      <c r="B419" s="13">
        <v>13770172</v>
      </c>
      <c r="C419" s="8">
        <v>734737480377</v>
      </c>
      <c r="D419" s="6" t="s">
        <v>282</v>
      </c>
      <c r="E419" s="18">
        <v>1</v>
      </c>
      <c r="F419" s="14">
        <v>39.99</v>
      </c>
      <c r="G419" s="14">
        <v>39.99</v>
      </c>
      <c r="H419" s="7" t="s">
        <v>950</v>
      </c>
      <c r="I419" s="7" t="s">
        <v>945</v>
      </c>
      <c r="J419" s="7" t="s">
        <v>974</v>
      </c>
      <c r="K419" s="7"/>
    </row>
    <row r="420" spans="1:11" ht="20.100000000000001" customHeight="1" x14ac:dyDescent="0.25">
      <c r="A420" s="12" t="s">
        <v>1296</v>
      </c>
      <c r="B420" s="13">
        <v>13770172</v>
      </c>
      <c r="C420" s="8">
        <v>734737686403</v>
      </c>
      <c r="D420" s="6" t="s">
        <v>283</v>
      </c>
      <c r="E420" s="18">
        <v>1</v>
      </c>
      <c r="F420" s="14">
        <v>49.99</v>
      </c>
      <c r="G420" s="14">
        <v>49.99</v>
      </c>
      <c r="H420" s="7" t="s">
        <v>984</v>
      </c>
      <c r="I420" s="7" t="s">
        <v>945</v>
      </c>
      <c r="J420" s="7" t="s">
        <v>974</v>
      </c>
      <c r="K420" s="7"/>
    </row>
    <row r="421" spans="1:11" ht="20.100000000000001" customHeight="1" x14ac:dyDescent="0.25">
      <c r="A421" s="12" t="s">
        <v>1296</v>
      </c>
      <c r="B421" s="13">
        <v>13770172</v>
      </c>
      <c r="C421" s="8">
        <v>64247037298</v>
      </c>
      <c r="D421" s="6" t="s">
        <v>284</v>
      </c>
      <c r="E421" s="18">
        <v>2</v>
      </c>
      <c r="F421" s="14">
        <v>80.989999999999995</v>
      </c>
      <c r="G421" s="14">
        <v>161.97999999999999</v>
      </c>
      <c r="H421" s="7" t="s">
        <v>950</v>
      </c>
      <c r="I421" s="7" t="s">
        <v>947</v>
      </c>
      <c r="J421" s="7" t="s">
        <v>1037</v>
      </c>
      <c r="K421" s="7"/>
    </row>
    <row r="422" spans="1:11" ht="20.100000000000001" customHeight="1" x14ac:dyDescent="0.25">
      <c r="A422" s="12" t="s">
        <v>1296</v>
      </c>
      <c r="B422" s="13">
        <v>13770172</v>
      </c>
      <c r="C422" s="8">
        <v>679610838138</v>
      </c>
      <c r="D422" s="6" t="s">
        <v>285</v>
      </c>
      <c r="E422" s="18">
        <v>1</v>
      </c>
      <c r="F422" s="14">
        <v>29.99</v>
      </c>
      <c r="G422" s="14">
        <v>29.99</v>
      </c>
      <c r="H422" s="7" t="s">
        <v>991</v>
      </c>
      <c r="I422" s="7" t="s">
        <v>945</v>
      </c>
      <c r="J422" s="7" t="s">
        <v>1055</v>
      </c>
      <c r="K422" s="7"/>
    </row>
    <row r="423" spans="1:11" ht="20.100000000000001" customHeight="1" x14ac:dyDescent="0.25">
      <c r="A423" s="12" t="s">
        <v>1296</v>
      </c>
      <c r="B423" s="13">
        <v>13770172</v>
      </c>
      <c r="C423" s="8">
        <v>47218349309</v>
      </c>
      <c r="D423" s="6" t="s">
        <v>286</v>
      </c>
      <c r="E423" s="18">
        <v>1</v>
      </c>
      <c r="F423" s="14">
        <v>19.989999999999998</v>
      </c>
      <c r="G423" s="14">
        <v>19.989999999999998</v>
      </c>
      <c r="H423" s="7" t="s">
        <v>988</v>
      </c>
      <c r="I423" s="7" t="s">
        <v>947</v>
      </c>
      <c r="J423" s="7" t="s">
        <v>1440</v>
      </c>
      <c r="K423" s="7"/>
    </row>
    <row r="424" spans="1:11" ht="20.100000000000001" customHeight="1" x14ac:dyDescent="0.25">
      <c r="A424" s="12" t="s">
        <v>1296</v>
      </c>
      <c r="B424" s="13">
        <v>13770172</v>
      </c>
      <c r="C424" s="8">
        <v>733003891640</v>
      </c>
      <c r="D424" s="6" t="s">
        <v>287</v>
      </c>
      <c r="E424" s="18">
        <v>1</v>
      </c>
      <c r="F424" s="14">
        <v>34.99</v>
      </c>
      <c r="G424" s="14">
        <v>34.99</v>
      </c>
      <c r="H424" s="7" t="s">
        <v>941</v>
      </c>
      <c r="I424" s="7" t="s">
        <v>1332</v>
      </c>
      <c r="J424" s="7" t="s">
        <v>1353</v>
      </c>
      <c r="K424" s="7"/>
    </row>
    <row r="425" spans="1:11" ht="20.100000000000001" customHeight="1" x14ac:dyDescent="0.25">
      <c r="A425" s="12" t="s">
        <v>1296</v>
      </c>
      <c r="B425" s="13">
        <v>13770172</v>
      </c>
      <c r="C425" s="8">
        <v>883893688568</v>
      </c>
      <c r="D425" s="6" t="s">
        <v>288</v>
      </c>
      <c r="E425" s="18">
        <v>1</v>
      </c>
      <c r="F425" s="14">
        <v>29.99</v>
      </c>
      <c r="G425" s="14">
        <v>29.99</v>
      </c>
      <c r="H425" s="7" t="s">
        <v>1054</v>
      </c>
      <c r="I425" s="7" t="s">
        <v>1003</v>
      </c>
      <c r="J425" s="7" t="s">
        <v>1180</v>
      </c>
      <c r="K425" s="7"/>
    </row>
    <row r="426" spans="1:11" ht="20.100000000000001" customHeight="1" x14ac:dyDescent="0.25">
      <c r="A426" s="12" t="s">
        <v>1296</v>
      </c>
      <c r="B426" s="13">
        <v>13770172</v>
      </c>
      <c r="C426" s="8">
        <v>81806536375</v>
      </c>
      <c r="D426" s="6" t="s">
        <v>289</v>
      </c>
      <c r="E426" s="18">
        <v>1</v>
      </c>
      <c r="F426" s="14">
        <v>34.99</v>
      </c>
      <c r="G426" s="14">
        <v>34.99</v>
      </c>
      <c r="H426" s="7" t="s">
        <v>1001</v>
      </c>
      <c r="I426" s="7" t="s">
        <v>947</v>
      </c>
      <c r="J426" s="7" t="s">
        <v>1141</v>
      </c>
      <c r="K426" s="7"/>
    </row>
    <row r="427" spans="1:11" ht="20.100000000000001" customHeight="1" x14ac:dyDescent="0.25">
      <c r="A427" s="12" t="s">
        <v>1296</v>
      </c>
      <c r="B427" s="13">
        <v>13770172</v>
      </c>
      <c r="C427" s="8">
        <v>81806536375</v>
      </c>
      <c r="D427" s="6" t="s">
        <v>289</v>
      </c>
      <c r="E427" s="18">
        <v>1</v>
      </c>
      <c r="F427" s="14">
        <v>34.99</v>
      </c>
      <c r="G427" s="14">
        <v>34.99</v>
      </c>
      <c r="H427" s="7" t="s">
        <v>1001</v>
      </c>
      <c r="I427" s="7" t="s">
        <v>947</v>
      </c>
      <c r="J427" s="7" t="s">
        <v>1141</v>
      </c>
      <c r="K427" s="7"/>
    </row>
    <row r="428" spans="1:11" ht="20.100000000000001" customHeight="1" x14ac:dyDescent="0.25">
      <c r="A428" s="12" t="s">
        <v>1296</v>
      </c>
      <c r="B428" s="13">
        <v>13770172</v>
      </c>
      <c r="C428" s="8">
        <v>191790054196</v>
      </c>
      <c r="D428" s="6" t="s">
        <v>1397</v>
      </c>
      <c r="E428" s="18">
        <v>1</v>
      </c>
      <c r="F428" s="14">
        <v>49.99</v>
      </c>
      <c r="G428" s="14">
        <v>49.99</v>
      </c>
      <c r="H428" s="7" t="s">
        <v>941</v>
      </c>
      <c r="I428" s="7" t="s">
        <v>939</v>
      </c>
      <c r="J428" s="7" t="s">
        <v>986</v>
      </c>
      <c r="K428" s="7"/>
    </row>
    <row r="429" spans="1:11" ht="20.100000000000001" customHeight="1" x14ac:dyDescent="0.25">
      <c r="A429" s="12" t="s">
        <v>1296</v>
      </c>
      <c r="B429" s="13">
        <v>13770172</v>
      </c>
      <c r="C429" s="8">
        <v>21864406890</v>
      </c>
      <c r="D429" s="6" t="s">
        <v>290</v>
      </c>
      <c r="E429" s="18">
        <v>1</v>
      </c>
      <c r="F429" s="14">
        <v>15.99</v>
      </c>
      <c r="G429" s="14">
        <v>15.99</v>
      </c>
      <c r="H429" s="7" t="s">
        <v>941</v>
      </c>
      <c r="I429" s="7" t="s">
        <v>958</v>
      </c>
      <c r="J429" s="7" t="s">
        <v>1196</v>
      </c>
      <c r="K429" s="7"/>
    </row>
    <row r="430" spans="1:11" ht="20.100000000000001" customHeight="1" x14ac:dyDescent="0.25">
      <c r="A430" s="12" t="s">
        <v>1296</v>
      </c>
      <c r="B430" s="13">
        <v>13770172</v>
      </c>
      <c r="C430" s="8">
        <v>733003540739</v>
      </c>
      <c r="D430" s="6" t="s">
        <v>291</v>
      </c>
      <c r="E430" s="18">
        <v>1</v>
      </c>
      <c r="F430" s="14">
        <v>64.989999999999995</v>
      </c>
      <c r="G430" s="14">
        <v>64.989999999999995</v>
      </c>
      <c r="H430" s="7" t="s">
        <v>1116</v>
      </c>
      <c r="I430" s="7" t="s">
        <v>1221</v>
      </c>
      <c r="J430" s="7" t="s">
        <v>1356</v>
      </c>
      <c r="K430" s="7"/>
    </row>
    <row r="431" spans="1:11" ht="20.100000000000001" customHeight="1" x14ac:dyDescent="0.25">
      <c r="A431" s="12" t="s">
        <v>1296</v>
      </c>
      <c r="B431" s="13">
        <v>13770172</v>
      </c>
      <c r="C431" s="8">
        <v>733003253578</v>
      </c>
      <c r="D431" s="6" t="s">
        <v>292</v>
      </c>
      <c r="E431" s="18">
        <v>1</v>
      </c>
      <c r="F431" s="14">
        <v>19.989999999999998</v>
      </c>
      <c r="G431" s="14">
        <v>19.989999999999998</v>
      </c>
      <c r="H431" s="7" t="s">
        <v>1068</v>
      </c>
      <c r="I431" s="7" t="s">
        <v>1128</v>
      </c>
      <c r="J431" s="7" t="s">
        <v>1400</v>
      </c>
      <c r="K431" s="7"/>
    </row>
    <row r="432" spans="1:11" ht="20.100000000000001" customHeight="1" x14ac:dyDescent="0.25">
      <c r="A432" s="12" t="s">
        <v>1296</v>
      </c>
      <c r="B432" s="13">
        <v>13770172</v>
      </c>
      <c r="C432" s="8">
        <v>651896640414</v>
      </c>
      <c r="D432" s="6" t="s">
        <v>293</v>
      </c>
      <c r="E432" s="18">
        <v>1</v>
      </c>
      <c r="F432" s="14">
        <v>75.989999999999995</v>
      </c>
      <c r="G432" s="14">
        <v>75.989999999999995</v>
      </c>
      <c r="H432" s="7" t="s">
        <v>941</v>
      </c>
      <c r="I432" s="7" t="s">
        <v>947</v>
      </c>
      <c r="J432" s="7" t="s">
        <v>1248</v>
      </c>
      <c r="K432" s="7"/>
    </row>
    <row r="433" spans="1:11" ht="20.100000000000001" customHeight="1" x14ac:dyDescent="0.25">
      <c r="A433" s="12" t="s">
        <v>1296</v>
      </c>
      <c r="B433" s="13">
        <v>13770172</v>
      </c>
      <c r="C433" s="8">
        <v>810076485379</v>
      </c>
      <c r="D433" s="6" t="s">
        <v>1333</v>
      </c>
      <c r="E433" s="18">
        <v>1</v>
      </c>
      <c r="F433" s="14">
        <v>14.99</v>
      </c>
      <c r="G433" s="14">
        <v>14.99</v>
      </c>
      <c r="H433" s="7" t="s">
        <v>984</v>
      </c>
      <c r="I433" s="7" t="s">
        <v>1033</v>
      </c>
      <c r="J433" s="7" t="s">
        <v>1354</v>
      </c>
      <c r="K433" s="7"/>
    </row>
    <row r="434" spans="1:11" ht="20.100000000000001" customHeight="1" x14ac:dyDescent="0.25">
      <c r="A434" s="12" t="s">
        <v>1296</v>
      </c>
      <c r="B434" s="13">
        <v>13770172</v>
      </c>
      <c r="C434" s="8">
        <v>21864406678</v>
      </c>
      <c r="D434" s="6" t="s">
        <v>294</v>
      </c>
      <c r="E434" s="18">
        <v>1</v>
      </c>
      <c r="F434" s="14">
        <v>13.99</v>
      </c>
      <c r="G434" s="14">
        <v>13.99</v>
      </c>
      <c r="H434" s="7" t="s">
        <v>941</v>
      </c>
      <c r="I434" s="7" t="s">
        <v>958</v>
      </c>
      <c r="J434" s="7" t="s">
        <v>1196</v>
      </c>
      <c r="K434" s="7"/>
    </row>
    <row r="435" spans="1:11" ht="20.100000000000001" customHeight="1" x14ac:dyDescent="0.25">
      <c r="A435" s="12" t="s">
        <v>1296</v>
      </c>
      <c r="B435" s="13">
        <v>13770172</v>
      </c>
      <c r="C435" s="8">
        <v>733003940058</v>
      </c>
      <c r="D435" s="6" t="s">
        <v>1399</v>
      </c>
      <c r="E435" s="18">
        <v>1</v>
      </c>
      <c r="F435" s="14">
        <v>99.99</v>
      </c>
      <c r="G435" s="14">
        <v>99.99</v>
      </c>
      <c r="H435" s="7" t="s">
        <v>984</v>
      </c>
      <c r="I435" s="7" t="s">
        <v>1080</v>
      </c>
      <c r="J435" s="7" t="s">
        <v>1117</v>
      </c>
      <c r="K435" s="7"/>
    </row>
    <row r="436" spans="1:11" ht="20.100000000000001" customHeight="1" x14ac:dyDescent="0.25">
      <c r="A436" s="12" t="s">
        <v>1296</v>
      </c>
      <c r="B436" s="13">
        <v>13770172</v>
      </c>
      <c r="C436" s="8">
        <v>810013413458</v>
      </c>
      <c r="D436" s="6" t="s">
        <v>295</v>
      </c>
      <c r="E436" s="18">
        <v>1</v>
      </c>
      <c r="F436" s="14">
        <v>104.99</v>
      </c>
      <c r="G436" s="14">
        <v>104.99</v>
      </c>
      <c r="H436" s="7" t="s">
        <v>950</v>
      </c>
      <c r="I436" s="7" t="s">
        <v>942</v>
      </c>
      <c r="J436" s="7" t="s">
        <v>1261</v>
      </c>
      <c r="K436" s="7"/>
    </row>
    <row r="437" spans="1:11" ht="20.100000000000001" customHeight="1" x14ac:dyDescent="0.25">
      <c r="A437" s="12" t="s">
        <v>1296</v>
      </c>
      <c r="B437" s="13">
        <v>13770172</v>
      </c>
      <c r="C437" s="8">
        <v>733003889944</v>
      </c>
      <c r="D437" s="6" t="s">
        <v>296</v>
      </c>
      <c r="E437" s="18">
        <v>1</v>
      </c>
      <c r="F437" s="14">
        <v>139.99</v>
      </c>
      <c r="G437" s="14">
        <v>139.99</v>
      </c>
      <c r="H437" s="7" t="s">
        <v>981</v>
      </c>
      <c r="I437" s="7" t="s">
        <v>1332</v>
      </c>
      <c r="J437" s="7" t="s">
        <v>1353</v>
      </c>
      <c r="K437" s="7"/>
    </row>
    <row r="438" spans="1:11" ht="20.100000000000001" customHeight="1" x14ac:dyDescent="0.25">
      <c r="A438" s="12" t="s">
        <v>1296</v>
      </c>
      <c r="B438" s="13">
        <v>13770172</v>
      </c>
      <c r="C438" s="8">
        <v>810076485409</v>
      </c>
      <c r="D438" s="6" t="s">
        <v>297</v>
      </c>
      <c r="E438" s="18">
        <v>1</v>
      </c>
      <c r="F438" s="14">
        <v>14.99</v>
      </c>
      <c r="G438" s="14">
        <v>14.99</v>
      </c>
      <c r="H438" s="7"/>
      <c r="I438" s="7" t="s">
        <v>1033</v>
      </c>
      <c r="J438" s="7" t="s">
        <v>1354</v>
      </c>
      <c r="K438" s="7"/>
    </row>
    <row r="439" spans="1:11" ht="20.100000000000001" customHeight="1" x14ac:dyDescent="0.25">
      <c r="A439" s="12" t="s">
        <v>1296</v>
      </c>
      <c r="B439" s="13">
        <v>13770172</v>
      </c>
      <c r="C439" s="8">
        <v>734737480513</v>
      </c>
      <c r="D439" s="6" t="s">
        <v>298</v>
      </c>
      <c r="E439" s="18">
        <v>1</v>
      </c>
      <c r="F439" s="14">
        <v>59.99</v>
      </c>
      <c r="G439" s="14">
        <v>59.99</v>
      </c>
      <c r="H439" s="7" t="s">
        <v>944</v>
      </c>
      <c r="I439" s="7" t="s">
        <v>945</v>
      </c>
      <c r="J439" s="7" t="s">
        <v>974</v>
      </c>
      <c r="K439" s="7"/>
    </row>
    <row r="440" spans="1:11" ht="20.100000000000001" customHeight="1" x14ac:dyDescent="0.25">
      <c r="A440" s="12" t="s">
        <v>1296</v>
      </c>
      <c r="B440" s="13">
        <v>13770172</v>
      </c>
      <c r="C440" s="8">
        <v>733002108404</v>
      </c>
      <c r="D440" s="6" t="s">
        <v>299</v>
      </c>
      <c r="E440" s="18">
        <v>1</v>
      </c>
      <c r="F440" s="14">
        <v>79.989999999999995</v>
      </c>
      <c r="G440" s="14">
        <v>79.989999999999995</v>
      </c>
      <c r="H440" s="7" t="s">
        <v>981</v>
      </c>
      <c r="I440" s="7" t="s">
        <v>956</v>
      </c>
      <c r="J440" s="7" t="s">
        <v>1100</v>
      </c>
      <c r="K440" s="7"/>
    </row>
    <row r="441" spans="1:11" ht="20.100000000000001" customHeight="1" x14ac:dyDescent="0.25">
      <c r="A441" s="12" t="s">
        <v>1296</v>
      </c>
      <c r="B441" s="13">
        <v>13770172</v>
      </c>
      <c r="C441" s="8">
        <v>883893690363</v>
      </c>
      <c r="D441" s="6" t="s">
        <v>882</v>
      </c>
      <c r="E441" s="18">
        <v>2</v>
      </c>
      <c r="F441" s="14">
        <v>55.99</v>
      </c>
      <c r="G441" s="14">
        <v>111.98</v>
      </c>
      <c r="H441" s="7" t="s">
        <v>950</v>
      </c>
      <c r="I441" s="7" t="s">
        <v>1033</v>
      </c>
      <c r="J441" s="7" t="s">
        <v>1357</v>
      </c>
      <c r="K441" s="7"/>
    </row>
    <row r="442" spans="1:11" ht="20.100000000000001" customHeight="1" x14ac:dyDescent="0.25">
      <c r="A442" s="12" t="s">
        <v>1296</v>
      </c>
      <c r="B442" s="13">
        <v>13770172</v>
      </c>
      <c r="C442" s="8">
        <v>32281186180</v>
      </c>
      <c r="D442" s="6" t="s">
        <v>300</v>
      </c>
      <c r="E442" s="18">
        <v>1</v>
      </c>
      <c r="F442" s="14">
        <v>49.99</v>
      </c>
      <c r="G442" s="14">
        <v>49.99</v>
      </c>
      <c r="H442" s="7"/>
      <c r="I442" s="7" t="s">
        <v>1342</v>
      </c>
      <c r="J442" s="7" t="s">
        <v>1210</v>
      </c>
      <c r="K442" s="7"/>
    </row>
    <row r="443" spans="1:11" ht="20.100000000000001" customHeight="1" x14ac:dyDescent="0.25">
      <c r="A443" s="12" t="s">
        <v>1296</v>
      </c>
      <c r="B443" s="13">
        <v>13770172</v>
      </c>
      <c r="C443" s="8">
        <v>190714468019</v>
      </c>
      <c r="D443" s="6" t="s">
        <v>301</v>
      </c>
      <c r="E443" s="18">
        <v>1</v>
      </c>
      <c r="F443" s="14">
        <v>29.99</v>
      </c>
      <c r="G443" s="14">
        <v>29.99</v>
      </c>
      <c r="H443" s="7" t="s">
        <v>997</v>
      </c>
      <c r="I443" s="7" t="s">
        <v>947</v>
      </c>
      <c r="J443" s="7" t="s">
        <v>1206</v>
      </c>
      <c r="K443" s="7"/>
    </row>
    <row r="444" spans="1:11" ht="20.100000000000001" customHeight="1" x14ac:dyDescent="0.25">
      <c r="A444" s="12" t="s">
        <v>1296</v>
      </c>
      <c r="B444" s="13">
        <v>13770172</v>
      </c>
      <c r="C444" s="8">
        <v>812228030840</v>
      </c>
      <c r="D444" s="6" t="s">
        <v>302</v>
      </c>
      <c r="E444" s="18">
        <v>1</v>
      </c>
      <c r="F444" s="14">
        <v>54.99</v>
      </c>
      <c r="G444" s="14">
        <v>54.99</v>
      </c>
      <c r="H444" s="7" t="s">
        <v>938</v>
      </c>
      <c r="I444" s="7" t="s">
        <v>1017</v>
      </c>
      <c r="J444" s="7" t="s">
        <v>1398</v>
      </c>
      <c r="K444" s="7"/>
    </row>
    <row r="445" spans="1:11" ht="20.100000000000001" customHeight="1" x14ac:dyDescent="0.25">
      <c r="A445" s="12" t="s">
        <v>1296</v>
      </c>
      <c r="B445" s="13">
        <v>13770172</v>
      </c>
      <c r="C445" s="8">
        <v>807882429062</v>
      </c>
      <c r="D445" s="6" t="s">
        <v>303</v>
      </c>
      <c r="E445" s="18">
        <v>1</v>
      </c>
      <c r="F445" s="14">
        <v>34.99</v>
      </c>
      <c r="G445" s="14">
        <v>34.99</v>
      </c>
      <c r="H445" s="7" t="s">
        <v>950</v>
      </c>
      <c r="I445" s="7" t="s">
        <v>947</v>
      </c>
      <c r="J445" s="7" t="s">
        <v>1350</v>
      </c>
      <c r="K445" s="7"/>
    </row>
    <row r="446" spans="1:11" ht="20.100000000000001" customHeight="1" x14ac:dyDescent="0.25">
      <c r="A446" s="12" t="s">
        <v>1296</v>
      </c>
      <c r="B446" s="13">
        <v>13770172</v>
      </c>
      <c r="C446" s="8">
        <v>733003977634</v>
      </c>
      <c r="D446" s="6" t="s">
        <v>304</v>
      </c>
      <c r="E446" s="18">
        <v>1</v>
      </c>
      <c r="F446" s="14">
        <v>299.99</v>
      </c>
      <c r="G446" s="14">
        <v>299.99</v>
      </c>
      <c r="H446" s="7" t="s">
        <v>1050</v>
      </c>
      <c r="I446" s="7" t="s">
        <v>956</v>
      </c>
      <c r="J446" s="7" t="s">
        <v>1100</v>
      </c>
      <c r="K446" s="7"/>
    </row>
    <row r="447" spans="1:11" ht="20.100000000000001" customHeight="1" x14ac:dyDescent="0.25">
      <c r="A447" s="12" t="s">
        <v>1296</v>
      </c>
      <c r="B447" s="13">
        <v>13770172</v>
      </c>
      <c r="C447" s="8">
        <v>734737686397</v>
      </c>
      <c r="D447" s="6" t="s">
        <v>1334</v>
      </c>
      <c r="E447" s="18">
        <v>1</v>
      </c>
      <c r="F447" s="14">
        <v>49.99</v>
      </c>
      <c r="G447" s="14">
        <v>49.99</v>
      </c>
      <c r="H447" s="7" t="s">
        <v>984</v>
      </c>
      <c r="I447" s="7" t="s">
        <v>945</v>
      </c>
      <c r="J447" s="7" t="s">
        <v>974</v>
      </c>
      <c r="K447" s="7"/>
    </row>
    <row r="448" spans="1:11" ht="20.100000000000001" customHeight="1" x14ac:dyDescent="0.25">
      <c r="A448" s="12" t="s">
        <v>1296</v>
      </c>
      <c r="B448" s="13">
        <v>13770172</v>
      </c>
      <c r="C448" s="8">
        <v>679610838596</v>
      </c>
      <c r="D448" s="6" t="s">
        <v>305</v>
      </c>
      <c r="E448" s="18">
        <v>1</v>
      </c>
      <c r="F448" s="14">
        <v>59.99</v>
      </c>
      <c r="G448" s="14">
        <v>59.99</v>
      </c>
      <c r="H448" s="7" t="s">
        <v>952</v>
      </c>
      <c r="I448" s="7" t="s">
        <v>945</v>
      </c>
      <c r="J448" s="7" t="s">
        <v>1055</v>
      </c>
      <c r="K448" s="7"/>
    </row>
    <row r="449" spans="1:11" ht="20.100000000000001" customHeight="1" x14ac:dyDescent="0.25">
      <c r="A449" s="12" t="s">
        <v>1296</v>
      </c>
      <c r="B449" s="13">
        <v>13770172</v>
      </c>
      <c r="C449" s="8">
        <v>86569299789</v>
      </c>
      <c r="D449" s="6" t="s">
        <v>306</v>
      </c>
      <c r="E449" s="18">
        <v>2</v>
      </c>
      <c r="F449" s="14">
        <v>29.99</v>
      </c>
      <c r="G449" s="14">
        <v>59.98</v>
      </c>
      <c r="H449" s="7" t="s">
        <v>950</v>
      </c>
      <c r="I449" s="7" t="s">
        <v>958</v>
      </c>
      <c r="J449" s="7" t="s">
        <v>955</v>
      </c>
      <c r="K449" s="7"/>
    </row>
    <row r="450" spans="1:11" ht="20.100000000000001" customHeight="1" x14ac:dyDescent="0.25">
      <c r="A450" s="12" t="s">
        <v>1296</v>
      </c>
      <c r="B450" s="13">
        <v>13770172</v>
      </c>
      <c r="C450" s="8">
        <v>733002884704</v>
      </c>
      <c r="D450" s="6" t="s">
        <v>307</v>
      </c>
      <c r="E450" s="18">
        <v>1</v>
      </c>
      <c r="F450" s="14">
        <v>69.989999999999995</v>
      </c>
      <c r="G450" s="14">
        <v>69.989999999999995</v>
      </c>
      <c r="H450" s="7" t="s">
        <v>944</v>
      </c>
      <c r="I450" s="7" t="s">
        <v>956</v>
      </c>
      <c r="J450" s="7" t="s">
        <v>1014</v>
      </c>
      <c r="K450" s="7"/>
    </row>
    <row r="451" spans="1:11" ht="20.100000000000001" customHeight="1" x14ac:dyDescent="0.25">
      <c r="A451" s="12" t="s">
        <v>1296</v>
      </c>
      <c r="B451" s="13">
        <v>13770172</v>
      </c>
      <c r="C451" s="8">
        <v>400013532725</v>
      </c>
      <c r="D451" s="6" t="s">
        <v>993</v>
      </c>
      <c r="E451" s="18">
        <v>3</v>
      </c>
      <c r="F451" s="14">
        <v>40</v>
      </c>
      <c r="G451" s="14">
        <v>120</v>
      </c>
      <c r="H451" s="7" t="s">
        <v>994</v>
      </c>
      <c r="I451" s="7" t="s">
        <v>995</v>
      </c>
      <c r="J451" s="7" t="s">
        <v>996</v>
      </c>
      <c r="K451" s="7"/>
    </row>
    <row r="452" spans="1:11" ht="20.100000000000001" customHeight="1" x14ac:dyDescent="0.25">
      <c r="A452" s="12" t="s">
        <v>1296</v>
      </c>
      <c r="B452" s="13">
        <v>13770172</v>
      </c>
      <c r="C452" s="8">
        <v>400013532725</v>
      </c>
      <c r="D452" s="6" t="s">
        <v>993</v>
      </c>
      <c r="E452" s="18">
        <v>1</v>
      </c>
      <c r="F452" s="14">
        <v>40</v>
      </c>
      <c r="G452" s="14">
        <v>40</v>
      </c>
      <c r="H452" s="7" t="s">
        <v>994</v>
      </c>
      <c r="I452" s="7" t="s">
        <v>995</v>
      </c>
      <c r="J452" s="7" t="s">
        <v>996</v>
      </c>
      <c r="K452" s="7"/>
    </row>
    <row r="453" spans="1:11" ht="20.100000000000001" customHeight="1" x14ac:dyDescent="0.25">
      <c r="A453" s="12" t="s">
        <v>1296</v>
      </c>
      <c r="B453" s="13">
        <v>13770172</v>
      </c>
      <c r="C453" s="8">
        <v>400013532725</v>
      </c>
      <c r="D453" s="6" t="s">
        <v>993</v>
      </c>
      <c r="E453" s="18">
        <v>7</v>
      </c>
      <c r="F453" s="14">
        <v>40</v>
      </c>
      <c r="G453" s="14">
        <v>280</v>
      </c>
      <c r="H453" s="7" t="s">
        <v>994</v>
      </c>
      <c r="I453" s="7" t="s">
        <v>995</v>
      </c>
      <c r="J453" s="7" t="s">
        <v>996</v>
      </c>
      <c r="K453" s="7"/>
    </row>
    <row r="454" spans="1:11" ht="20.100000000000001" customHeight="1" x14ac:dyDescent="0.25">
      <c r="A454" s="12" t="s">
        <v>1296</v>
      </c>
      <c r="B454" s="13">
        <v>13770172</v>
      </c>
      <c r="C454" s="8">
        <v>400013532725</v>
      </c>
      <c r="D454" s="6" t="s">
        <v>993</v>
      </c>
      <c r="E454" s="18">
        <v>1</v>
      </c>
      <c r="F454" s="14">
        <v>40</v>
      </c>
      <c r="G454" s="14">
        <v>40</v>
      </c>
      <c r="H454" s="7" t="s">
        <v>994</v>
      </c>
      <c r="I454" s="7" t="s">
        <v>995</v>
      </c>
      <c r="J454" s="7" t="s">
        <v>996</v>
      </c>
      <c r="K454" s="7"/>
    </row>
    <row r="455" spans="1:11" ht="20.100000000000001" customHeight="1" x14ac:dyDescent="0.25">
      <c r="A455" s="12" t="s">
        <v>1296</v>
      </c>
      <c r="B455" s="13">
        <v>13770172</v>
      </c>
      <c r="C455" s="8">
        <v>400013532725</v>
      </c>
      <c r="D455" s="6" t="s">
        <v>993</v>
      </c>
      <c r="E455" s="18">
        <v>2</v>
      </c>
      <c r="F455" s="14">
        <v>40</v>
      </c>
      <c r="G455" s="14">
        <v>80</v>
      </c>
      <c r="H455" s="7" t="s">
        <v>994</v>
      </c>
      <c r="I455" s="7" t="s">
        <v>995</v>
      </c>
      <c r="J455" s="7" t="s">
        <v>996</v>
      </c>
      <c r="K455" s="7"/>
    </row>
    <row r="456" spans="1:11" ht="20.100000000000001" customHeight="1" x14ac:dyDescent="0.25">
      <c r="A456" s="12" t="s">
        <v>1296</v>
      </c>
      <c r="B456" s="13">
        <v>13770172</v>
      </c>
      <c r="C456" s="8">
        <v>400013532725</v>
      </c>
      <c r="D456" s="6" t="s">
        <v>993</v>
      </c>
      <c r="E456" s="18">
        <v>7</v>
      </c>
      <c r="F456" s="14">
        <v>40</v>
      </c>
      <c r="G456" s="14">
        <v>280</v>
      </c>
      <c r="H456" s="7" t="s">
        <v>994</v>
      </c>
      <c r="I456" s="7" t="s">
        <v>995</v>
      </c>
      <c r="J456" s="7" t="s">
        <v>996</v>
      </c>
      <c r="K456" s="7"/>
    </row>
    <row r="457" spans="1:11" ht="20.100000000000001" customHeight="1" x14ac:dyDescent="0.25">
      <c r="A457" s="12" t="s">
        <v>1296</v>
      </c>
      <c r="B457" s="13">
        <v>13770172</v>
      </c>
      <c r="C457" s="8">
        <v>400013532725</v>
      </c>
      <c r="D457" s="6" t="s">
        <v>993</v>
      </c>
      <c r="E457" s="18">
        <v>2</v>
      </c>
      <c r="F457" s="14">
        <v>40</v>
      </c>
      <c r="G457" s="14">
        <v>80</v>
      </c>
      <c r="H457" s="7" t="s">
        <v>994</v>
      </c>
      <c r="I457" s="7" t="s">
        <v>995</v>
      </c>
      <c r="J457" s="7" t="s">
        <v>996</v>
      </c>
      <c r="K457" s="7"/>
    </row>
    <row r="458" spans="1:11" ht="20.100000000000001" customHeight="1" x14ac:dyDescent="0.25">
      <c r="A458" s="12" t="s">
        <v>1296</v>
      </c>
      <c r="B458" s="13">
        <v>13770172</v>
      </c>
      <c r="C458" s="8">
        <v>400013532725</v>
      </c>
      <c r="D458" s="6" t="s">
        <v>993</v>
      </c>
      <c r="E458" s="18">
        <v>3</v>
      </c>
      <c r="F458" s="14">
        <v>40</v>
      </c>
      <c r="G458" s="14">
        <v>120</v>
      </c>
      <c r="H458" s="7" t="s">
        <v>994</v>
      </c>
      <c r="I458" s="7" t="s">
        <v>995</v>
      </c>
      <c r="J458" s="7" t="s">
        <v>996</v>
      </c>
      <c r="K458" s="7"/>
    </row>
    <row r="459" spans="1:11" ht="20.100000000000001" customHeight="1" x14ac:dyDescent="0.25">
      <c r="A459" s="12" t="s">
        <v>1296</v>
      </c>
      <c r="B459" s="13">
        <v>13770172</v>
      </c>
      <c r="C459" s="8">
        <v>646998697770</v>
      </c>
      <c r="D459" s="6" t="s">
        <v>308</v>
      </c>
      <c r="E459" s="18">
        <v>1</v>
      </c>
      <c r="F459" s="14">
        <v>22.99</v>
      </c>
      <c r="G459" s="14">
        <v>22.99</v>
      </c>
      <c r="H459" s="7" t="s">
        <v>941</v>
      </c>
      <c r="I459" s="7" t="s">
        <v>947</v>
      </c>
      <c r="J459" s="7" t="s">
        <v>1019</v>
      </c>
      <c r="K459" s="7"/>
    </row>
    <row r="460" spans="1:11" ht="20.100000000000001" customHeight="1" x14ac:dyDescent="0.25">
      <c r="A460" s="12" t="s">
        <v>1296</v>
      </c>
      <c r="B460" s="13">
        <v>13770172</v>
      </c>
      <c r="C460" s="8">
        <v>848971070697</v>
      </c>
      <c r="D460" s="6" t="s">
        <v>1450</v>
      </c>
      <c r="E460" s="18">
        <v>1</v>
      </c>
      <c r="F460" s="14">
        <v>126</v>
      </c>
      <c r="G460" s="14">
        <v>126</v>
      </c>
      <c r="H460" s="7" t="s">
        <v>994</v>
      </c>
      <c r="I460" s="7" t="s">
        <v>942</v>
      </c>
      <c r="J460" s="7" t="s">
        <v>1085</v>
      </c>
      <c r="K460" s="7"/>
    </row>
    <row r="461" spans="1:11" ht="20.100000000000001" customHeight="1" x14ac:dyDescent="0.25">
      <c r="A461" s="12" t="s">
        <v>1296</v>
      </c>
      <c r="B461" s="13">
        <v>13770172</v>
      </c>
      <c r="C461" s="8">
        <v>734737686519</v>
      </c>
      <c r="D461" s="6" t="s">
        <v>1335</v>
      </c>
      <c r="E461" s="18">
        <v>2</v>
      </c>
      <c r="F461" s="14">
        <v>49.99</v>
      </c>
      <c r="G461" s="14">
        <v>99.98</v>
      </c>
      <c r="H461" s="7" t="s">
        <v>987</v>
      </c>
      <c r="I461" s="7" t="s">
        <v>945</v>
      </c>
      <c r="J461" s="7" t="s">
        <v>974</v>
      </c>
      <c r="K461" s="7"/>
    </row>
    <row r="462" spans="1:11" ht="20.100000000000001" customHeight="1" x14ac:dyDescent="0.25">
      <c r="A462" s="12" t="s">
        <v>1296</v>
      </c>
      <c r="B462" s="13">
        <v>13770172</v>
      </c>
      <c r="C462" s="8">
        <v>651896660122</v>
      </c>
      <c r="D462" s="6" t="s">
        <v>309</v>
      </c>
      <c r="E462" s="18">
        <v>1</v>
      </c>
      <c r="F462" s="14">
        <v>19.989999999999998</v>
      </c>
      <c r="G462" s="14">
        <v>19.989999999999998</v>
      </c>
      <c r="H462" s="7"/>
      <c r="I462" s="7" t="s">
        <v>947</v>
      </c>
      <c r="J462" s="7" t="s">
        <v>629</v>
      </c>
      <c r="K462" s="7"/>
    </row>
    <row r="463" spans="1:11" ht="20.100000000000001" customHeight="1" x14ac:dyDescent="0.25">
      <c r="A463" s="12" t="s">
        <v>1296</v>
      </c>
      <c r="B463" s="13">
        <v>13770172</v>
      </c>
      <c r="C463" s="8">
        <v>810031412525</v>
      </c>
      <c r="D463" s="6" t="s">
        <v>310</v>
      </c>
      <c r="E463" s="18">
        <v>1</v>
      </c>
      <c r="F463" s="14">
        <v>39.99</v>
      </c>
      <c r="G463" s="14">
        <v>39.99</v>
      </c>
      <c r="H463" s="7" t="s">
        <v>950</v>
      </c>
      <c r="I463" s="7" t="s">
        <v>947</v>
      </c>
      <c r="J463" s="7" t="s">
        <v>1127</v>
      </c>
      <c r="K463" s="7"/>
    </row>
    <row r="464" spans="1:11" ht="20.100000000000001" customHeight="1" x14ac:dyDescent="0.25">
      <c r="A464" s="12" t="s">
        <v>1296</v>
      </c>
      <c r="B464" s="13">
        <v>13770172</v>
      </c>
      <c r="C464" s="8">
        <v>733002096978</v>
      </c>
      <c r="D464" s="6" t="s">
        <v>311</v>
      </c>
      <c r="E464" s="18">
        <v>1</v>
      </c>
      <c r="F464" s="14">
        <v>119.99</v>
      </c>
      <c r="G464" s="14">
        <v>119.99</v>
      </c>
      <c r="H464" s="7" t="s">
        <v>952</v>
      </c>
      <c r="I464" s="7" t="s">
        <v>956</v>
      </c>
      <c r="J464" s="7" t="s">
        <v>957</v>
      </c>
      <c r="K464" s="7"/>
    </row>
    <row r="465" spans="1:11" ht="20.100000000000001" customHeight="1" x14ac:dyDescent="0.25">
      <c r="A465" s="12" t="s">
        <v>1296</v>
      </c>
      <c r="B465" s="13">
        <v>13770172</v>
      </c>
      <c r="C465" s="8">
        <v>733003878306</v>
      </c>
      <c r="D465" s="6" t="s">
        <v>312</v>
      </c>
      <c r="E465" s="18">
        <v>3</v>
      </c>
      <c r="F465" s="14">
        <v>29.99</v>
      </c>
      <c r="G465" s="14">
        <v>89.97</v>
      </c>
      <c r="H465" s="7" t="s">
        <v>984</v>
      </c>
      <c r="I465" s="7" t="s">
        <v>1332</v>
      </c>
      <c r="J465" s="7" t="s">
        <v>1353</v>
      </c>
      <c r="K465" s="7"/>
    </row>
    <row r="466" spans="1:11" ht="20.100000000000001" customHeight="1" x14ac:dyDescent="0.25">
      <c r="A466" s="12" t="s">
        <v>1296</v>
      </c>
      <c r="B466" s="13">
        <v>13770172</v>
      </c>
      <c r="C466" s="8">
        <v>651896660078</v>
      </c>
      <c r="D466" s="6" t="s">
        <v>1336</v>
      </c>
      <c r="E466" s="18">
        <v>3</v>
      </c>
      <c r="F466" s="14">
        <v>24.99</v>
      </c>
      <c r="G466" s="14">
        <v>74.97</v>
      </c>
      <c r="H466" s="7"/>
      <c r="I466" s="7" t="s">
        <v>947</v>
      </c>
      <c r="J466" s="7" t="s">
        <v>1248</v>
      </c>
      <c r="K466" s="7"/>
    </row>
    <row r="467" spans="1:11" ht="20.100000000000001" customHeight="1" x14ac:dyDescent="0.25">
      <c r="A467" s="12" t="s">
        <v>1296</v>
      </c>
      <c r="B467" s="13">
        <v>13770172</v>
      </c>
      <c r="C467" s="8">
        <v>73558822899</v>
      </c>
      <c r="D467" s="6" t="s">
        <v>313</v>
      </c>
      <c r="E467" s="18">
        <v>1</v>
      </c>
      <c r="F467" s="14">
        <v>29.99</v>
      </c>
      <c r="G467" s="14">
        <v>29.99</v>
      </c>
      <c r="H467" s="7" t="s">
        <v>1157</v>
      </c>
      <c r="I467" s="7" t="s">
        <v>945</v>
      </c>
      <c r="J467" s="7" t="s">
        <v>1406</v>
      </c>
      <c r="K467" s="7"/>
    </row>
    <row r="468" spans="1:11" ht="20.100000000000001" customHeight="1" x14ac:dyDescent="0.25">
      <c r="A468" s="12" t="s">
        <v>1296</v>
      </c>
      <c r="B468" s="13">
        <v>13770172</v>
      </c>
      <c r="C468" s="8">
        <v>735732250477</v>
      </c>
      <c r="D468" s="6" t="s">
        <v>314</v>
      </c>
      <c r="E468" s="18">
        <v>1</v>
      </c>
      <c r="F468" s="14">
        <v>25.99</v>
      </c>
      <c r="G468" s="14">
        <v>25.99</v>
      </c>
      <c r="H468" s="7" t="s">
        <v>984</v>
      </c>
      <c r="I468" s="7" t="s">
        <v>958</v>
      </c>
      <c r="J468" s="7" t="s">
        <v>1170</v>
      </c>
      <c r="K468" s="7"/>
    </row>
    <row r="469" spans="1:11" ht="20.100000000000001" customHeight="1" x14ac:dyDescent="0.25">
      <c r="A469" s="12" t="s">
        <v>1296</v>
      </c>
      <c r="B469" s="13">
        <v>13770172</v>
      </c>
      <c r="C469" s="8">
        <v>883893680654</v>
      </c>
      <c r="D469" s="6" t="s">
        <v>315</v>
      </c>
      <c r="E469" s="18">
        <v>1</v>
      </c>
      <c r="F469" s="14">
        <v>79.989999999999995</v>
      </c>
      <c r="G469" s="14">
        <v>79.989999999999995</v>
      </c>
      <c r="H469" s="7" t="s">
        <v>976</v>
      </c>
      <c r="I469" s="7" t="s">
        <v>999</v>
      </c>
      <c r="J469" s="7" t="s">
        <v>1110</v>
      </c>
      <c r="K469" s="7"/>
    </row>
    <row r="470" spans="1:11" ht="20.100000000000001" customHeight="1" x14ac:dyDescent="0.25">
      <c r="A470" s="12" t="s">
        <v>1296</v>
      </c>
      <c r="B470" s="13">
        <v>13770172</v>
      </c>
      <c r="C470" s="8">
        <v>733003473204</v>
      </c>
      <c r="D470" s="6" t="s">
        <v>316</v>
      </c>
      <c r="E470" s="18">
        <v>2</v>
      </c>
      <c r="F470" s="14">
        <v>19.989999999999998</v>
      </c>
      <c r="G470" s="14">
        <v>39.979999999999997</v>
      </c>
      <c r="H470" s="7" t="s">
        <v>1116</v>
      </c>
      <c r="I470" s="7" t="s">
        <v>1221</v>
      </c>
      <c r="J470" s="7" t="s">
        <v>1172</v>
      </c>
      <c r="K470" s="7"/>
    </row>
    <row r="471" spans="1:11" ht="20.100000000000001" customHeight="1" x14ac:dyDescent="0.25">
      <c r="A471" s="12" t="s">
        <v>1296</v>
      </c>
      <c r="B471" s="13">
        <v>13770172</v>
      </c>
      <c r="C471" s="8">
        <v>191790054462</v>
      </c>
      <c r="D471" s="6" t="s">
        <v>317</v>
      </c>
      <c r="E471" s="18">
        <v>1</v>
      </c>
      <c r="F471" s="14">
        <v>14.99</v>
      </c>
      <c r="G471" s="14">
        <v>14.99</v>
      </c>
      <c r="H471" s="7" t="s">
        <v>976</v>
      </c>
      <c r="I471" s="7" t="s">
        <v>939</v>
      </c>
      <c r="J471" s="7" t="s">
        <v>986</v>
      </c>
      <c r="K471" s="7"/>
    </row>
    <row r="472" spans="1:11" ht="20.100000000000001" customHeight="1" x14ac:dyDescent="0.25">
      <c r="A472" s="12" t="s">
        <v>1296</v>
      </c>
      <c r="B472" s="13">
        <v>13770172</v>
      </c>
      <c r="C472" s="8">
        <v>733003891602</v>
      </c>
      <c r="D472" s="6" t="s">
        <v>318</v>
      </c>
      <c r="E472" s="18">
        <v>1</v>
      </c>
      <c r="F472" s="14">
        <v>39.99</v>
      </c>
      <c r="G472" s="14">
        <v>39.99</v>
      </c>
      <c r="H472" s="7" t="s">
        <v>1302</v>
      </c>
      <c r="I472" s="7" t="s">
        <v>1332</v>
      </c>
      <c r="J472" s="7" t="s">
        <v>1353</v>
      </c>
      <c r="K472" s="7"/>
    </row>
    <row r="473" spans="1:11" ht="20.100000000000001" customHeight="1" x14ac:dyDescent="0.25">
      <c r="A473" s="12" t="s">
        <v>1296</v>
      </c>
      <c r="B473" s="13">
        <v>13770172</v>
      </c>
      <c r="C473" s="8">
        <v>783048162625</v>
      </c>
      <c r="D473" s="6" t="s">
        <v>319</v>
      </c>
      <c r="E473" s="18">
        <v>1</v>
      </c>
      <c r="F473" s="14">
        <v>156</v>
      </c>
      <c r="G473" s="14">
        <v>156</v>
      </c>
      <c r="H473" s="7" t="s">
        <v>941</v>
      </c>
      <c r="I473" s="7" t="s">
        <v>1003</v>
      </c>
      <c r="J473" s="7" t="s">
        <v>1076</v>
      </c>
      <c r="K473" s="7"/>
    </row>
    <row r="474" spans="1:11" ht="20.100000000000001" customHeight="1" x14ac:dyDescent="0.25">
      <c r="A474" s="12" t="s">
        <v>1296</v>
      </c>
      <c r="B474" s="13">
        <v>13770172</v>
      </c>
      <c r="C474" s="8">
        <v>628644010645</v>
      </c>
      <c r="D474" s="6" t="s">
        <v>320</v>
      </c>
      <c r="E474" s="18">
        <v>1</v>
      </c>
      <c r="F474" s="14">
        <v>58.99</v>
      </c>
      <c r="G474" s="14">
        <v>58.99</v>
      </c>
      <c r="H474" s="7" t="s">
        <v>1068</v>
      </c>
      <c r="I474" s="7" t="s">
        <v>1033</v>
      </c>
      <c r="J474" s="7" t="s">
        <v>321</v>
      </c>
      <c r="K474" s="7"/>
    </row>
    <row r="475" spans="1:11" ht="20.100000000000001" customHeight="1" x14ac:dyDescent="0.25">
      <c r="A475" s="12" t="s">
        <v>1296</v>
      </c>
      <c r="B475" s="13">
        <v>13770172</v>
      </c>
      <c r="C475" s="8">
        <v>46249688289</v>
      </c>
      <c r="D475" s="6" t="s">
        <v>322</v>
      </c>
      <c r="E475" s="18">
        <v>1</v>
      </c>
      <c r="F475" s="14">
        <v>79.989999999999995</v>
      </c>
      <c r="G475" s="14">
        <v>79.989999999999995</v>
      </c>
      <c r="H475" s="7" t="s">
        <v>938</v>
      </c>
      <c r="I475" s="7" t="s">
        <v>1003</v>
      </c>
      <c r="J475" s="7" t="s">
        <v>1075</v>
      </c>
      <c r="K475" s="7"/>
    </row>
    <row r="476" spans="1:11" ht="20.100000000000001" customHeight="1" x14ac:dyDescent="0.25">
      <c r="A476" s="12" t="s">
        <v>1296</v>
      </c>
      <c r="B476" s="13">
        <v>13770172</v>
      </c>
      <c r="C476" s="8">
        <v>733003499365</v>
      </c>
      <c r="D476" s="6" t="s">
        <v>1448</v>
      </c>
      <c r="E476" s="18">
        <v>1</v>
      </c>
      <c r="F476" s="14">
        <v>119.99</v>
      </c>
      <c r="G476" s="14">
        <v>119.99</v>
      </c>
      <c r="H476" s="7" t="s">
        <v>941</v>
      </c>
      <c r="I476" s="7" t="s">
        <v>1080</v>
      </c>
      <c r="J476" s="7" t="s">
        <v>1117</v>
      </c>
      <c r="K476" s="7"/>
    </row>
    <row r="477" spans="1:11" ht="20.100000000000001" customHeight="1" x14ac:dyDescent="0.25">
      <c r="A477" s="12" t="s">
        <v>1296</v>
      </c>
      <c r="B477" s="13">
        <v>13770172</v>
      </c>
      <c r="C477" s="8">
        <v>72632986939</v>
      </c>
      <c r="D477" s="6" t="s">
        <v>323</v>
      </c>
      <c r="E477" s="18">
        <v>1</v>
      </c>
      <c r="F477" s="14">
        <v>249.99</v>
      </c>
      <c r="G477" s="14">
        <v>249.99</v>
      </c>
      <c r="H477" s="7" t="s">
        <v>965</v>
      </c>
      <c r="I477" s="7" t="s">
        <v>939</v>
      </c>
      <c r="J477" s="7" t="s">
        <v>324</v>
      </c>
      <c r="K477" s="7"/>
    </row>
    <row r="478" spans="1:11" ht="20.100000000000001" customHeight="1" x14ac:dyDescent="0.25">
      <c r="A478" s="12" t="s">
        <v>1296</v>
      </c>
      <c r="B478" s="13">
        <v>13770172</v>
      </c>
      <c r="C478" s="8">
        <v>81806613373</v>
      </c>
      <c r="D478" s="6" t="s">
        <v>325</v>
      </c>
      <c r="E478" s="18">
        <v>1</v>
      </c>
      <c r="F478" s="14">
        <v>35.99</v>
      </c>
      <c r="G478" s="14">
        <v>35.99</v>
      </c>
      <c r="H478" s="7" t="s">
        <v>938</v>
      </c>
      <c r="I478" s="7" t="s">
        <v>939</v>
      </c>
      <c r="J478" s="7" t="s">
        <v>1189</v>
      </c>
      <c r="K478" s="7"/>
    </row>
    <row r="479" spans="1:11" ht="20.100000000000001" customHeight="1" x14ac:dyDescent="0.25">
      <c r="A479" s="12" t="s">
        <v>1296</v>
      </c>
      <c r="B479" s="13">
        <v>13770172</v>
      </c>
      <c r="C479" s="8">
        <v>96675701625</v>
      </c>
      <c r="D479" s="6" t="s">
        <v>326</v>
      </c>
      <c r="E479" s="18">
        <v>1</v>
      </c>
      <c r="F479" s="14">
        <v>59.99</v>
      </c>
      <c r="G479" s="14">
        <v>59.99</v>
      </c>
      <c r="H479" s="7" t="s">
        <v>941</v>
      </c>
      <c r="I479" s="7" t="s">
        <v>942</v>
      </c>
      <c r="J479" s="7" t="s">
        <v>1070</v>
      </c>
      <c r="K479" s="7"/>
    </row>
    <row r="480" spans="1:11" ht="20.100000000000001" customHeight="1" x14ac:dyDescent="0.25">
      <c r="A480" s="12" t="s">
        <v>1296</v>
      </c>
      <c r="B480" s="13">
        <v>13770172</v>
      </c>
      <c r="C480" s="8">
        <v>646760084791</v>
      </c>
      <c r="D480" s="6" t="s">
        <v>327</v>
      </c>
      <c r="E480" s="18">
        <v>3</v>
      </c>
      <c r="F480" s="14">
        <v>29.99</v>
      </c>
      <c r="G480" s="14">
        <v>89.97</v>
      </c>
      <c r="H480" s="7" t="s">
        <v>968</v>
      </c>
      <c r="I480" s="7" t="s">
        <v>958</v>
      </c>
      <c r="J480" s="7" t="s">
        <v>328</v>
      </c>
      <c r="K480" s="7"/>
    </row>
    <row r="481" spans="1:11" ht="20.100000000000001" customHeight="1" x14ac:dyDescent="0.25">
      <c r="A481" s="12" t="s">
        <v>1296</v>
      </c>
      <c r="B481" s="13">
        <v>13770172</v>
      </c>
      <c r="C481" s="8">
        <v>810033093609</v>
      </c>
      <c r="D481" s="6" t="s">
        <v>329</v>
      </c>
      <c r="E481" s="18">
        <v>1</v>
      </c>
      <c r="F481" s="14">
        <v>55.99</v>
      </c>
      <c r="G481" s="14">
        <v>55.99</v>
      </c>
      <c r="H481" s="7" t="s">
        <v>938</v>
      </c>
      <c r="I481" s="7" t="s">
        <v>1033</v>
      </c>
      <c r="J481" s="7" t="s">
        <v>1354</v>
      </c>
      <c r="K481" s="7"/>
    </row>
    <row r="482" spans="1:11" ht="20.100000000000001" customHeight="1" x14ac:dyDescent="0.25">
      <c r="A482" s="12" t="s">
        <v>1296</v>
      </c>
      <c r="B482" s="13">
        <v>13770172</v>
      </c>
      <c r="C482" s="8">
        <v>651896660528</v>
      </c>
      <c r="D482" s="6" t="s">
        <v>330</v>
      </c>
      <c r="E482" s="18">
        <v>1</v>
      </c>
      <c r="F482" s="14">
        <v>9.99</v>
      </c>
      <c r="G482" s="14">
        <v>9.99</v>
      </c>
      <c r="H482" s="7"/>
      <c r="I482" s="7" t="s">
        <v>947</v>
      </c>
      <c r="J482" s="7" t="s">
        <v>629</v>
      </c>
      <c r="K482" s="7"/>
    </row>
    <row r="483" spans="1:11" ht="20.100000000000001" customHeight="1" x14ac:dyDescent="0.25">
      <c r="A483" s="12" t="s">
        <v>1296</v>
      </c>
      <c r="B483" s="13">
        <v>13770172</v>
      </c>
      <c r="C483" s="8">
        <v>813538020873</v>
      </c>
      <c r="D483" s="6" t="s">
        <v>331</v>
      </c>
      <c r="E483" s="18">
        <v>1</v>
      </c>
      <c r="F483" s="14">
        <v>81</v>
      </c>
      <c r="G483" s="14">
        <v>81</v>
      </c>
      <c r="H483" s="7" t="s">
        <v>994</v>
      </c>
      <c r="I483" s="7" t="s">
        <v>939</v>
      </c>
      <c r="J483" s="7" t="s">
        <v>332</v>
      </c>
      <c r="K483" s="7"/>
    </row>
    <row r="484" spans="1:11" ht="20.100000000000001" customHeight="1" x14ac:dyDescent="0.25">
      <c r="A484" s="12" t="s">
        <v>1296</v>
      </c>
      <c r="B484" s="13">
        <v>13770172</v>
      </c>
      <c r="C484" s="8">
        <v>86569759429</v>
      </c>
      <c r="D484" s="6" t="s">
        <v>333</v>
      </c>
      <c r="E484" s="18">
        <v>1</v>
      </c>
      <c r="F484" s="14">
        <v>29.99</v>
      </c>
      <c r="G484" s="14">
        <v>29.99</v>
      </c>
      <c r="H484" s="7" t="s">
        <v>944</v>
      </c>
      <c r="I484" s="7" t="s">
        <v>958</v>
      </c>
      <c r="J484" s="7" t="s">
        <v>955</v>
      </c>
      <c r="K484" s="7"/>
    </row>
    <row r="485" spans="1:11" ht="20.100000000000001" customHeight="1" x14ac:dyDescent="0.25">
      <c r="A485" s="12" t="s">
        <v>1296</v>
      </c>
      <c r="B485" s="13">
        <v>13770172</v>
      </c>
      <c r="C485" s="8">
        <v>810006718379</v>
      </c>
      <c r="D485" s="6" t="s">
        <v>334</v>
      </c>
      <c r="E485" s="18">
        <v>1</v>
      </c>
      <c r="F485" s="14">
        <v>45</v>
      </c>
      <c r="G485" s="14">
        <v>45</v>
      </c>
      <c r="H485" s="7"/>
      <c r="I485" s="7" t="s">
        <v>939</v>
      </c>
      <c r="J485" s="7" t="s">
        <v>1123</v>
      </c>
      <c r="K485" s="7"/>
    </row>
    <row r="486" spans="1:11" ht="20.100000000000001" customHeight="1" x14ac:dyDescent="0.25">
      <c r="A486" s="12" t="s">
        <v>1296</v>
      </c>
      <c r="B486" s="13">
        <v>13770172</v>
      </c>
      <c r="C486" s="8">
        <v>651896660085</v>
      </c>
      <c r="D486" s="6" t="s">
        <v>335</v>
      </c>
      <c r="E486" s="18">
        <v>1</v>
      </c>
      <c r="F486" s="14">
        <v>24.99</v>
      </c>
      <c r="G486" s="14">
        <v>24.99</v>
      </c>
      <c r="H486" s="7"/>
      <c r="I486" s="7" t="s">
        <v>947</v>
      </c>
      <c r="J486" s="7" t="s">
        <v>1248</v>
      </c>
      <c r="K486" s="7"/>
    </row>
    <row r="487" spans="1:11" ht="20.100000000000001" customHeight="1" x14ac:dyDescent="0.25">
      <c r="A487" s="12" t="s">
        <v>1296</v>
      </c>
      <c r="B487" s="13">
        <v>13770172</v>
      </c>
      <c r="C487" s="8">
        <v>651896660085</v>
      </c>
      <c r="D487" s="6" t="s">
        <v>335</v>
      </c>
      <c r="E487" s="18">
        <v>1</v>
      </c>
      <c r="F487" s="14">
        <v>24.99</v>
      </c>
      <c r="G487" s="14">
        <v>24.99</v>
      </c>
      <c r="H487" s="7"/>
      <c r="I487" s="7" t="s">
        <v>947</v>
      </c>
      <c r="J487" s="7" t="s">
        <v>1248</v>
      </c>
      <c r="K487" s="7"/>
    </row>
    <row r="488" spans="1:11" ht="20.100000000000001" customHeight="1" x14ac:dyDescent="0.25">
      <c r="A488" s="12" t="s">
        <v>1296</v>
      </c>
      <c r="B488" s="13">
        <v>13770172</v>
      </c>
      <c r="C488" s="8">
        <v>47218349248</v>
      </c>
      <c r="D488" s="6" t="s">
        <v>1439</v>
      </c>
      <c r="E488" s="18">
        <v>1</v>
      </c>
      <c r="F488" s="14">
        <v>54.99</v>
      </c>
      <c r="G488" s="14">
        <v>54.99</v>
      </c>
      <c r="H488" s="7" t="s">
        <v>987</v>
      </c>
      <c r="I488" s="7" t="s">
        <v>947</v>
      </c>
      <c r="J488" s="7" t="s">
        <v>1440</v>
      </c>
      <c r="K488" s="7"/>
    </row>
    <row r="489" spans="1:11" ht="20.100000000000001" customHeight="1" x14ac:dyDescent="0.25">
      <c r="A489" s="12" t="s">
        <v>1296</v>
      </c>
      <c r="B489" s="13">
        <v>13770172</v>
      </c>
      <c r="C489" s="8">
        <v>733003366773</v>
      </c>
      <c r="D489" s="6" t="s">
        <v>336</v>
      </c>
      <c r="E489" s="18">
        <v>1</v>
      </c>
      <c r="F489" s="14">
        <v>49.99</v>
      </c>
      <c r="G489" s="14">
        <v>49.99</v>
      </c>
      <c r="H489" s="7" t="s">
        <v>1116</v>
      </c>
      <c r="I489" s="7" t="s">
        <v>1017</v>
      </c>
      <c r="J489" s="7" t="s">
        <v>1360</v>
      </c>
      <c r="K489" s="7"/>
    </row>
    <row r="490" spans="1:11" ht="20.100000000000001" customHeight="1" x14ac:dyDescent="0.25">
      <c r="A490" s="12" t="s">
        <v>1296</v>
      </c>
      <c r="B490" s="13">
        <v>13770172</v>
      </c>
      <c r="C490" s="8">
        <v>733001994312</v>
      </c>
      <c r="D490" s="6" t="s">
        <v>337</v>
      </c>
      <c r="E490" s="18">
        <v>1</v>
      </c>
      <c r="F490" s="14">
        <v>14.99</v>
      </c>
      <c r="G490" s="14">
        <v>14.99</v>
      </c>
      <c r="H490" s="7" t="s">
        <v>941</v>
      </c>
      <c r="I490" s="7" t="s">
        <v>971</v>
      </c>
      <c r="J490" s="7" t="s">
        <v>1125</v>
      </c>
      <c r="K490" s="7"/>
    </row>
    <row r="491" spans="1:11" ht="20.100000000000001" customHeight="1" x14ac:dyDescent="0.25">
      <c r="A491" s="12" t="s">
        <v>1296</v>
      </c>
      <c r="B491" s="13">
        <v>13770172</v>
      </c>
      <c r="C491" s="8">
        <v>733003226978</v>
      </c>
      <c r="D491" s="6" t="s">
        <v>338</v>
      </c>
      <c r="E491" s="18">
        <v>2</v>
      </c>
      <c r="F491" s="14">
        <v>74.989999999999995</v>
      </c>
      <c r="G491" s="14">
        <v>149.97999999999999</v>
      </c>
      <c r="H491" s="7" t="s">
        <v>965</v>
      </c>
      <c r="I491" s="7" t="s">
        <v>956</v>
      </c>
      <c r="J491" s="7" t="s">
        <v>1028</v>
      </c>
      <c r="K491" s="7"/>
    </row>
    <row r="492" spans="1:11" ht="20.100000000000001" customHeight="1" x14ac:dyDescent="0.25">
      <c r="A492" s="12" t="s">
        <v>1296</v>
      </c>
      <c r="B492" s="13">
        <v>13770172</v>
      </c>
      <c r="C492" s="8">
        <v>191790052123</v>
      </c>
      <c r="D492" s="6" t="s">
        <v>339</v>
      </c>
      <c r="E492" s="18">
        <v>1</v>
      </c>
      <c r="F492" s="14">
        <v>59.99</v>
      </c>
      <c r="G492" s="14">
        <v>59.99</v>
      </c>
      <c r="H492" s="7" t="s">
        <v>950</v>
      </c>
      <c r="I492" s="7" t="s">
        <v>939</v>
      </c>
      <c r="J492" s="7" t="s">
        <v>986</v>
      </c>
      <c r="K492" s="7"/>
    </row>
    <row r="493" spans="1:11" ht="20.100000000000001" customHeight="1" x14ac:dyDescent="0.25">
      <c r="A493" s="12" t="s">
        <v>1296</v>
      </c>
      <c r="B493" s="13">
        <v>13770172</v>
      </c>
      <c r="C493" s="8">
        <v>733002847297</v>
      </c>
      <c r="D493" s="6" t="s">
        <v>340</v>
      </c>
      <c r="E493" s="18">
        <v>1</v>
      </c>
      <c r="F493" s="14">
        <v>99.99</v>
      </c>
      <c r="G493" s="14">
        <v>99.99</v>
      </c>
      <c r="H493" s="7" t="s">
        <v>941</v>
      </c>
      <c r="I493" s="7" t="s">
        <v>1097</v>
      </c>
      <c r="J493" s="7" t="s">
        <v>1098</v>
      </c>
      <c r="K493" s="7"/>
    </row>
    <row r="494" spans="1:11" ht="20.100000000000001" customHeight="1" x14ac:dyDescent="0.25">
      <c r="A494" s="12" t="s">
        <v>1296</v>
      </c>
      <c r="B494" s="13">
        <v>13770172</v>
      </c>
      <c r="C494" s="8">
        <v>29927586862</v>
      </c>
      <c r="D494" s="6" t="s">
        <v>341</v>
      </c>
      <c r="E494" s="18">
        <v>6</v>
      </c>
      <c r="F494" s="14">
        <v>19.989999999999998</v>
      </c>
      <c r="G494" s="14">
        <v>119.94</v>
      </c>
      <c r="H494" s="7" t="s">
        <v>941</v>
      </c>
      <c r="I494" s="7" t="s">
        <v>947</v>
      </c>
      <c r="J494" s="7" t="s">
        <v>982</v>
      </c>
      <c r="K494" s="7"/>
    </row>
    <row r="495" spans="1:11" ht="20.100000000000001" customHeight="1" x14ac:dyDescent="0.25">
      <c r="A495" s="12" t="s">
        <v>1296</v>
      </c>
      <c r="B495" s="13">
        <v>13770172</v>
      </c>
      <c r="C495" s="8">
        <v>791551469636</v>
      </c>
      <c r="D495" s="6" t="s">
        <v>342</v>
      </c>
      <c r="E495" s="18">
        <v>1</v>
      </c>
      <c r="F495" s="14">
        <v>23.99</v>
      </c>
      <c r="G495" s="14">
        <v>23.99</v>
      </c>
      <c r="H495" s="7" t="s">
        <v>944</v>
      </c>
      <c r="I495" s="7" t="s">
        <v>1017</v>
      </c>
      <c r="J495" s="7" t="s">
        <v>1203</v>
      </c>
      <c r="K495" s="7"/>
    </row>
    <row r="496" spans="1:11" ht="20.100000000000001" customHeight="1" x14ac:dyDescent="0.25">
      <c r="A496" s="12" t="s">
        <v>1296</v>
      </c>
      <c r="B496" s="13">
        <v>13770172</v>
      </c>
      <c r="C496" s="8">
        <v>91116735832</v>
      </c>
      <c r="D496" s="6" t="s">
        <v>600</v>
      </c>
      <c r="E496" s="18">
        <v>1</v>
      </c>
      <c r="F496" s="14">
        <v>19.989999999999998</v>
      </c>
      <c r="G496" s="14">
        <v>19.989999999999998</v>
      </c>
      <c r="H496" s="7" t="s">
        <v>944</v>
      </c>
      <c r="I496" s="7" t="s">
        <v>939</v>
      </c>
      <c r="J496" s="7" t="s">
        <v>1249</v>
      </c>
      <c r="K496" s="7"/>
    </row>
    <row r="497" spans="1:11" ht="20.100000000000001" customHeight="1" x14ac:dyDescent="0.25">
      <c r="A497" s="12" t="s">
        <v>1296</v>
      </c>
      <c r="B497" s="13">
        <v>13770172</v>
      </c>
      <c r="C497" s="8">
        <v>29927588095</v>
      </c>
      <c r="D497" s="6" t="s">
        <v>343</v>
      </c>
      <c r="E497" s="18">
        <v>2</v>
      </c>
      <c r="F497" s="14">
        <v>23.99</v>
      </c>
      <c r="G497" s="14">
        <v>47.98</v>
      </c>
      <c r="H497" s="7" t="s">
        <v>938</v>
      </c>
      <c r="I497" s="7" t="s">
        <v>947</v>
      </c>
      <c r="J497" s="7" t="s">
        <v>982</v>
      </c>
      <c r="K497" s="7"/>
    </row>
    <row r="498" spans="1:11" ht="20.100000000000001" customHeight="1" x14ac:dyDescent="0.25">
      <c r="A498" s="12" t="s">
        <v>1296</v>
      </c>
      <c r="B498" s="13">
        <v>13770172</v>
      </c>
      <c r="C498" s="8">
        <v>810549023756</v>
      </c>
      <c r="D498" s="6" t="s">
        <v>344</v>
      </c>
      <c r="E498" s="18">
        <v>1</v>
      </c>
      <c r="F498" s="14">
        <v>5.99</v>
      </c>
      <c r="G498" s="14">
        <v>5.99</v>
      </c>
      <c r="H498" s="7" t="s">
        <v>1036</v>
      </c>
      <c r="I498" s="7" t="s">
        <v>939</v>
      </c>
      <c r="J498" s="7" t="s">
        <v>1143</v>
      </c>
      <c r="K498" s="7"/>
    </row>
    <row r="499" spans="1:11" ht="20.100000000000001" customHeight="1" x14ac:dyDescent="0.25">
      <c r="A499" s="12" t="s">
        <v>1296</v>
      </c>
      <c r="B499" s="13">
        <v>13770172</v>
      </c>
      <c r="C499" s="8">
        <v>29927587043</v>
      </c>
      <c r="D499" s="6" t="s">
        <v>345</v>
      </c>
      <c r="E499" s="18">
        <v>1</v>
      </c>
      <c r="F499" s="14">
        <v>31.99</v>
      </c>
      <c r="G499" s="14">
        <v>31.99</v>
      </c>
      <c r="H499" s="7" t="s">
        <v>1302</v>
      </c>
      <c r="I499" s="7" t="s">
        <v>947</v>
      </c>
      <c r="J499" s="7" t="s">
        <v>982</v>
      </c>
      <c r="K499" s="7"/>
    </row>
    <row r="500" spans="1:11" ht="20.100000000000001" customHeight="1" x14ac:dyDescent="0.25">
      <c r="A500" s="12" t="s">
        <v>1296</v>
      </c>
      <c r="B500" s="13">
        <v>13770172</v>
      </c>
      <c r="C500" s="8">
        <v>735732639616</v>
      </c>
      <c r="D500" s="6" t="s">
        <v>1340</v>
      </c>
      <c r="E500" s="18">
        <v>1</v>
      </c>
      <c r="F500" s="14">
        <v>9.99</v>
      </c>
      <c r="G500" s="14">
        <v>9.99</v>
      </c>
      <c r="H500" s="7" t="s">
        <v>952</v>
      </c>
      <c r="I500" s="7" t="s">
        <v>947</v>
      </c>
      <c r="J500" s="7" t="s">
        <v>1359</v>
      </c>
      <c r="K500" s="7"/>
    </row>
    <row r="501" spans="1:11" ht="20.100000000000001" customHeight="1" x14ac:dyDescent="0.25">
      <c r="A501" s="12" t="s">
        <v>1296</v>
      </c>
      <c r="B501" s="13">
        <v>13770172</v>
      </c>
      <c r="C501" s="8">
        <v>735732639616</v>
      </c>
      <c r="D501" s="6" t="s">
        <v>1340</v>
      </c>
      <c r="E501" s="18">
        <v>1</v>
      </c>
      <c r="F501" s="14">
        <v>9.99</v>
      </c>
      <c r="G501" s="14">
        <v>9.99</v>
      </c>
      <c r="H501" s="7" t="s">
        <v>952</v>
      </c>
      <c r="I501" s="7" t="s">
        <v>947</v>
      </c>
      <c r="J501" s="7" t="s">
        <v>1359</v>
      </c>
      <c r="K501" s="7"/>
    </row>
    <row r="502" spans="1:11" ht="20.100000000000001" customHeight="1" x14ac:dyDescent="0.25">
      <c r="A502" s="12" t="s">
        <v>1296</v>
      </c>
      <c r="B502" s="13">
        <v>13770172</v>
      </c>
      <c r="C502" s="8">
        <v>679610838442</v>
      </c>
      <c r="D502" s="6" t="s">
        <v>916</v>
      </c>
      <c r="E502" s="18">
        <v>1</v>
      </c>
      <c r="F502" s="14">
        <v>99.99</v>
      </c>
      <c r="G502" s="14">
        <v>99.99</v>
      </c>
      <c r="H502" s="7" t="s">
        <v>1054</v>
      </c>
      <c r="I502" s="7" t="s">
        <v>945</v>
      </c>
      <c r="J502" s="7" t="s">
        <v>1055</v>
      </c>
      <c r="K502" s="7"/>
    </row>
    <row r="503" spans="1:11" ht="20.100000000000001" customHeight="1" x14ac:dyDescent="0.25">
      <c r="A503" s="12" t="s">
        <v>1296</v>
      </c>
      <c r="B503" s="13">
        <v>13770172</v>
      </c>
      <c r="C503" s="8">
        <v>733003194031</v>
      </c>
      <c r="D503" s="6" t="s">
        <v>346</v>
      </c>
      <c r="E503" s="18">
        <v>1</v>
      </c>
      <c r="F503" s="14">
        <v>59.99</v>
      </c>
      <c r="G503" s="14">
        <v>59.99</v>
      </c>
      <c r="H503" s="7" t="s">
        <v>987</v>
      </c>
      <c r="I503" s="7" t="s">
        <v>1097</v>
      </c>
      <c r="J503" s="7" t="s">
        <v>1098</v>
      </c>
      <c r="K503" s="7"/>
    </row>
    <row r="504" spans="1:11" ht="20.100000000000001" customHeight="1" x14ac:dyDescent="0.25">
      <c r="A504" s="12" t="s">
        <v>1296</v>
      </c>
      <c r="B504" s="13">
        <v>13770172</v>
      </c>
      <c r="C504" s="8">
        <v>194938025713</v>
      </c>
      <c r="D504" s="6" t="s">
        <v>347</v>
      </c>
      <c r="E504" s="18">
        <v>1</v>
      </c>
      <c r="F504" s="14">
        <v>79.989999999999995</v>
      </c>
      <c r="G504" s="14">
        <v>79.989999999999995</v>
      </c>
      <c r="H504" s="7" t="s">
        <v>984</v>
      </c>
      <c r="I504" s="7" t="s">
        <v>947</v>
      </c>
      <c r="J504" s="7" t="s">
        <v>348</v>
      </c>
      <c r="K504" s="7"/>
    </row>
    <row r="505" spans="1:11" ht="20.100000000000001" customHeight="1" x14ac:dyDescent="0.25">
      <c r="A505" s="12" t="s">
        <v>1296</v>
      </c>
      <c r="B505" s="13">
        <v>13770172</v>
      </c>
      <c r="C505" s="8">
        <v>733003557836</v>
      </c>
      <c r="D505" s="6" t="s">
        <v>1442</v>
      </c>
      <c r="E505" s="18">
        <v>1</v>
      </c>
      <c r="F505" s="14">
        <v>64.989999999999995</v>
      </c>
      <c r="G505" s="14">
        <v>64.989999999999995</v>
      </c>
      <c r="H505" s="7" t="s">
        <v>981</v>
      </c>
      <c r="I505" s="7" t="s">
        <v>1221</v>
      </c>
      <c r="J505" s="7" t="s">
        <v>1356</v>
      </c>
      <c r="K505" s="7"/>
    </row>
    <row r="506" spans="1:11" ht="20.100000000000001" customHeight="1" x14ac:dyDescent="0.25">
      <c r="A506" s="12" t="s">
        <v>1296</v>
      </c>
      <c r="B506" s="13">
        <v>13770172</v>
      </c>
      <c r="C506" s="8">
        <v>734737686335</v>
      </c>
      <c r="D506" s="6" t="s">
        <v>920</v>
      </c>
      <c r="E506" s="18">
        <v>1</v>
      </c>
      <c r="F506" s="14">
        <v>49.99</v>
      </c>
      <c r="G506" s="14">
        <v>49.99</v>
      </c>
      <c r="H506" s="7" t="s">
        <v>984</v>
      </c>
      <c r="I506" s="7" t="s">
        <v>945</v>
      </c>
      <c r="J506" s="7" t="s">
        <v>974</v>
      </c>
      <c r="K506" s="7"/>
    </row>
    <row r="507" spans="1:11" ht="20.100000000000001" customHeight="1" x14ac:dyDescent="0.25">
      <c r="A507" s="12" t="s">
        <v>1296</v>
      </c>
      <c r="B507" s="13">
        <v>13770172</v>
      </c>
      <c r="C507" s="8">
        <v>86569620019</v>
      </c>
      <c r="D507" s="6" t="s">
        <v>349</v>
      </c>
      <c r="E507" s="18">
        <v>1</v>
      </c>
      <c r="F507" s="14">
        <v>10.99</v>
      </c>
      <c r="G507" s="14">
        <v>10.99</v>
      </c>
      <c r="H507" s="7" t="s">
        <v>987</v>
      </c>
      <c r="I507" s="7" t="s">
        <v>1033</v>
      </c>
      <c r="J507" s="7" t="s">
        <v>955</v>
      </c>
      <c r="K507" s="7"/>
    </row>
    <row r="508" spans="1:11" ht="20.100000000000001" customHeight="1" x14ac:dyDescent="0.25">
      <c r="A508" s="12" t="s">
        <v>1296</v>
      </c>
      <c r="B508" s="13">
        <v>13770172</v>
      </c>
      <c r="C508" s="8">
        <v>733003460983</v>
      </c>
      <c r="D508" s="6" t="s">
        <v>350</v>
      </c>
      <c r="E508" s="18">
        <v>2</v>
      </c>
      <c r="F508" s="14">
        <v>249.99</v>
      </c>
      <c r="G508" s="14">
        <v>499.98</v>
      </c>
      <c r="H508" s="7" t="s">
        <v>950</v>
      </c>
      <c r="I508" s="7" t="s">
        <v>956</v>
      </c>
      <c r="J508" s="7" t="s">
        <v>1107</v>
      </c>
      <c r="K508" s="7"/>
    </row>
    <row r="509" spans="1:11" ht="20.100000000000001" customHeight="1" x14ac:dyDescent="0.25">
      <c r="A509" s="12" t="s">
        <v>1296</v>
      </c>
      <c r="B509" s="13">
        <v>13770172</v>
      </c>
      <c r="C509" s="8">
        <v>733003226930</v>
      </c>
      <c r="D509" s="6" t="s">
        <v>351</v>
      </c>
      <c r="E509" s="18">
        <v>1</v>
      </c>
      <c r="F509" s="14">
        <v>139.99</v>
      </c>
      <c r="G509" s="14">
        <v>139.99</v>
      </c>
      <c r="H509" s="7" t="s">
        <v>965</v>
      </c>
      <c r="I509" s="7" t="s">
        <v>956</v>
      </c>
      <c r="J509" s="7" t="s">
        <v>1028</v>
      </c>
      <c r="K509" s="7"/>
    </row>
    <row r="510" spans="1:11" ht="20.100000000000001" customHeight="1" x14ac:dyDescent="0.25">
      <c r="A510" s="12" t="s">
        <v>1296</v>
      </c>
      <c r="B510" s="13">
        <v>13770172</v>
      </c>
      <c r="C510" s="8">
        <v>848336053808</v>
      </c>
      <c r="D510" s="6" t="s">
        <v>352</v>
      </c>
      <c r="E510" s="18">
        <v>1</v>
      </c>
      <c r="F510" s="14">
        <v>49.99</v>
      </c>
      <c r="G510" s="14">
        <v>49.99</v>
      </c>
      <c r="H510" s="7" t="s">
        <v>1001</v>
      </c>
      <c r="I510" s="7" t="s">
        <v>947</v>
      </c>
      <c r="J510" s="7" t="s">
        <v>1031</v>
      </c>
      <c r="K510" s="7"/>
    </row>
    <row r="511" spans="1:11" ht="20.100000000000001" customHeight="1" x14ac:dyDescent="0.25">
      <c r="A511" s="12" t="s">
        <v>1296</v>
      </c>
      <c r="B511" s="13">
        <v>13770172</v>
      </c>
      <c r="C511" s="8">
        <v>96675300545</v>
      </c>
      <c r="D511" s="6" t="s">
        <v>353</v>
      </c>
      <c r="E511" s="18">
        <v>1</v>
      </c>
      <c r="F511" s="14">
        <v>69.989999999999995</v>
      </c>
      <c r="G511" s="14">
        <v>69.989999999999995</v>
      </c>
      <c r="H511" s="7" t="s">
        <v>941</v>
      </c>
      <c r="I511" s="7" t="s">
        <v>942</v>
      </c>
      <c r="J511" s="7" t="s">
        <v>1070</v>
      </c>
      <c r="K511" s="7"/>
    </row>
    <row r="512" spans="1:11" ht="20.100000000000001" customHeight="1" x14ac:dyDescent="0.25">
      <c r="A512" s="12" t="s">
        <v>1296</v>
      </c>
      <c r="B512" s="13">
        <v>13770172</v>
      </c>
      <c r="C512" s="8">
        <v>810012746915</v>
      </c>
      <c r="D512" s="6" t="s">
        <v>354</v>
      </c>
      <c r="E512" s="18">
        <v>1</v>
      </c>
      <c r="F512" s="14">
        <v>29.99</v>
      </c>
      <c r="G512" s="14">
        <v>29.99</v>
      </c>
      <c r="H512" s="7" t="s">
        <v>941</v>
      </c>
      <c r="I512" s="7" t="s">
        <v>947</v>
      </c>
      <c r="J512" s="7" t="s">
        <v>1195</v>
      </c>
      <c r="K512" s="7"/>
    </row>
    <row r="513" spans="1:11" ht="20.100000000000001" customHeight="1" x14ac:dyDescent="0.25">
      <c r="A513" s="12" t="s">
        <v>1296</v>
      </c>
      <c r="B513" s="13">
        <v>13770172</v>
      </c>
      <c r="C513" s="8">
        <v>733003878986</v>
      </c>
      <c r="D513" s="6" t="s">
        <v>355</v>
      </c>
      <c r="E513" s="18">
        <v>1</v>
      </c>
      <c r="F513" s="14">
        <v>149.99</v>
      </c>
      <c r="G513" s="14">
        <v>149.99</v>
      </c>
      <c r="H513" s="7" t="s">
        <v>1050</v>
      </c>
      <c r="I513" s="7" t="s">
        <v>1332</v>
      </c>
      <c r="J513" s="7" t="s">
        <v>1353</v>
      </c>
      <c r="K513" s="7"/>
    </row>
    <row r="514" spans="1:11" ht="20.100000000000001" customHeight="1" x14ac:dyDescent="0.25">
      <c r="A514" s="12" t="s">
        <v>1296</v>
      </c>
      <c r="B514" s="13">
        <v>13770172</v>
      </c>
      <c r="C514" s="8">
        <v>646760123902</v>
      </c>
      <c r="D514" s="6" t="s">
        <v>356</v>
      </c>
      <c r="E514" s="18">
        <v>2</v>
      </c>
      <c r="F514" s="14">
        <v>40.99</v>
      </c>
      <c r="G514" s="14">
        <v>81.98</v>
      </c>
      <c r="H514" s="7" t="s">
        <v>1013</v>
      </c>
      <c r="I514" s="7" t="s">
        <v>947</v>
      </c>
      <c r="J514" s="7" t="s">
        <v>1136</v>
      </c>
      <c r="K514" s="7"/>
    </row>
    <row r="515" spans="1:11" ht="20.100000000000001" customHeight="1" x14ac:dyDescent="0.25">
      <c r="A515" s="12" t="s">
        <v>1296</v>
      </c>
      <c r="B515" s="13">
        <v>13770172</v>
      </c>
      <c r="C515" s="8">
        <v>733003914936</v>
      </c>
      <c r="D515" s="6" t="s">
        <v>357</v>
      </c>
      <c r="E515" s="18">
        <v>1</v>
      </c>
      <c r="F515" s="14">
        <v>129.99</v>
      </c>
      <c r="G515" s="14">
        <v>129.99</v>
      </c>
      <c r="H515" s="7" t="s">
        <v>1032</v>
      </c>
      <c r="I515" s="7" t="s">
        <v>969</v>
      </c>
      <c r="J515" s="7" t="s">
        <v>1135</v>
      </c>
      <c r="K515" s="7"/>
    </row>
    <row r="516" spans="1:11" ht="20.100000000000001" customHeight="1" x14ac:dyDescent="0.25">
      <c r="A516" s="12" t="s">
        <v>1296</v>
      </c>
      <c r="B516" s="13">
        <v>13770172</v>
      </c>
      <c r="C516" s="8">
        <v>38992940448</v>
      </c>
      <c r="D516" s="6" t="s">
        <v>358</v>
      </c>
      <c r="E516" s="18">
        <v>1</v>
      </c>
      <c r="F516" s="14">
        <v>39.99</v>
      </c>
      <c r="G516" s="14">
        <v>39.99</v>
      </c>
      <c r="H516" s="7" t="s">
        <v>1013</v>
      </c>
      <c r="I516" s="7" t="s">
        <v>966</v>
      </c>
      <c r="J516" s="7" t="s">
        <v>998</v>
      </c>
      <c r="K516" s="7"/>
    </row>
    <row r="517" spans="1:11" ht="20.100000000000001" customHeight="1" x14ac:dyDescent="0.25">
      <c r="A517" s="12" t="s">
        <v>1296</v>
      </c>
      <c r="B517" s="13">
        <v>13770172</v>
      </c>
      <c r="C517" s="8">
        <v>885308758927</v>
      </c>
      <c r="D517" s="6" t="s">
        <v>359</v>
      </c>
      <c r="E517" s="18">
        <v>5</v>
      </c>
      <c r="F517" s="14">
        <v>45.99</v>
      </c>
      <c r="G517" s="14">
        <v>229.95</v>
      </c>
      <c r="H517" s="7" t="s">
        <v>1068</v>
      </c>
      <c r="I517" s="7" t="s">
        <v>947</v>
      </c>
      <c r="J517" s="7" t="s">
        <v>1141</v>
      </c>
      <c r="K517" s="7"/>
    </row>
    <row r="518" spans="1:11" ht="20.100000000000001" customHeight="1" x14ac:dyDescent="0.25">
      <c r="A518" s="12" t="s">
        <v>1296</v>
      </c>
      <c r="B518" s="13">
        <v>13770172</v>
      </c>
      <c r="C518" s="8">
        <v>733004151354</v>
      </c>
      <c r="D518" s="6" t="s">
        <v>360</v>
      </c>
      <c r="E518" s="18">
        <v>1</v>
      </c>
      <c r="F518" s="14">
        <v>59.99</v>
      </c>
      <c r="G518" s="14">
        <v>59.99</v>
      </c>
      <c r="H518" s="7" t="s">
        <v>984</v>
      </c>
      <c r="I518" s="7" t="s">
        <v>1221</v>
      </c>
      <c r="J518" s="7" t="s">
        <v>1356</v>
      </c>
      <c r="K518" s="7"/>
    </row>
    <row r="519" spans="1:11" ht="20.100000000000001" customHeight="1" x14ac:dyDescent="0.25">
      <c r="A519" s="12" t="s">
        <v>1296</v>
      </c>
      <c r="B519" s="13">
        <v>13770172</v>
      </c>
      <c r="C519" s="8">
        <v>733003878221</v>
      </c>
      <c r="D519" s="6" t="s">
        <v>1443</v>
      </c>
      <c r="E519" s="18">
        <v>2</v>
      </c>
      <c r="F519" s="14">
        <v>119.99</v>
      </c>
      <c r="G519" s="14">
        <v>239.98</v>
      </c>
      <c r="H519" s="7" t="s">
        <v>984</v>
      </c>
      <c r="I519" s="7" t="s">
        <v>1332</v>
      </c>
      <c r="J519" s="7" t="s">
        <v>1353</v>
      </c>
      <c r="K519" s="7"/>
    </row>
    <row r="520" spans="1:11" ht="20.100000000000001" customHeight="1" x14ac:dyDescent="0.25">
      <c r="A520" s="12" t="s">
        <v>1296</v>
      </c>
      <c r="B520" s="13">
        <v>13770172</v>
      </c>
      <c r="C520" s="8">
        <v>734737686342</v>
      </c>
      <c r="D520" s="6" t="s">
        <v>1343</v>
      </c>
      <c r="E520" s="18">
        <v>1</v>
      </c>
      <c r="F520" s="14">
        <v>49.99</v>
      </c>
      <c r="G520" s="14">
        <v>49.99</v>
      </c>
      <c r="H520" s="7" t="s">
        <v>984</v>
      </c>
      <c r="I520" s="7" t="s">
        <v>945</v>
      </c>
      <c r="J520" s="7" t="s">
        <v>974</v>
      </c>
      <c r="K520" s="7"/>
    </row>
    <row r="521" spans="1:11" ht="20.100000000000001" customHeight="1" x14ac:dyDescent="0.25">
      <c r="A521" s="12" t="s">
        <v>1296</v>
      </c>
      <c r="B521" s="13">
        <v>13770172</v>
      </c>
      <c r="C521" s="8">
        <v>883893691803</v>
      </c>
      <c r="D521" s="6" t="s">
        <v>361</v>
      </c>
      <c r="E521" s="18">
        <v>1</v>
      </c>
      <c r="F521" s="14">
        <v>129.99</v>
      </c>
      <c r="G521" s="14">
        <v>129.99</v>
      </c>
      <c r="H521" s="7" t="s">
        <v>1001</v>
      </c>
      <c r="I521" s="7" t="s">
        <v>966</v>
      </c>
      <c r="J521" s="7" t="s">
        <v>1002</v>
      </c>
      <c r="K521" s="7"/>
    </row>
    <row r="522" spans="1:11" ht="20.100000000000001" customHeight="1" x14ac:dyDescent="0.25">
      <c r="A522" s="12" t="s">
        <v>1296</v>
      </c>
      <c r="B522" s="13">
        <v>13770172</v>
      </c>
      <c r="C522" s="8">
        <v>883893685185</v>
      </c>
      <c r="D522" s="6" t="s">
        <v>362</v>
      </c>
      <c r="E522" s="18">
        <v>1</v>
      </c>
      <c r="F522" s="14">
        <v>149.99</v>
      </c>
      <c r="G522" s="14">
        <v>149.99</v>
      </c>
      <c r="H522" s="7" t="s">
        <v>944</v>
      </c>
      <c r="I522" s="7" t="s">
        <v>966</v>
      </c>
      <c r="J522" s="7" t="s">
        <v>1064</v>
      </c>
      <c r="K522" s="7"/>
    </row>
    <row r="523" spans="1:11" ht="20.100000000000001" customHeight="1" x14ac:dyDescent="0.25">
      <c r="A523" s="12" t="s">
        <v>1296</v>
      </c>
      <c r="B523" s="13">
        <v>13770172</v>
      </c>
      <c r="C523" s="8">
        <v>190945121387</v>
      </c>
      <c r="D523" s="6" t="s">
        <v>363</v>
      </c>
      <c r="E523" s="18">
        <v>2</v>
      </c>
      <c r="F523" s="14">
        <v>69.989999999999995</v>
      </c>
      <c r="G523" s="14">
        <v>139.97999999999999</v>
      </c>
      <c r="H523" s="7" t="s">
        <v>941</v>
      </c>
      <c r="I523" s="7" t="s">
        <v>947</v>
      </c>
      <c r="J523" s="7" t="s">
        <v>1031</v>
      </c>
      <c r="K523" s="7"/>
    </row>
    <row r="524" spans="1:11" ht="20.100000000000001" customHeight="1" x14ac:dyDescent="0.25">
      <c r="A524" s="12" t="s">
        <v>1296</v>
      </c>
      <c r="B524" s="13">
        <v>13770172</v>
      </c>
      <c r="C524" s="8">
        <v>190945121387</v>
      </c>
      <c r="D524" s="6" t="s">
        <v>363</v>
      </c>
      <c r="E524" s="18">
        <v>1</v>
      </c>
      <c r="F524" s="14">
        <v>69.989999999999995</v>
      </c>
      <c r="G524" s="14">
        <v>69.989999999999995</v>
      </c>
      <c r="H524" s="7" t="s">
        <v>941</v>
      </c>
      <c r="I524" s="7" t="s">
        <v>947</v>
      </c>
      <c r="J524" s="7" t="s">
        <v>1031</v>
      </c>
      <c r="K524" s="7"/>
    </row>
    <row r="525" spans="1:11" ht="20.100000000000001" customHeight="1" x14ac:dyDescent="0.25">
      <c r="A525" s="12" t="s">
        <v>1296</v>
      </c>
      <c r="B525" s="13">
        <v>13770172</v>
      </c>
      <c r="C525" s="8">
        <v>86569728524</v>
      </c>
      <c r="D525" s="6" t="s">
        <v>364</v>
      </c>
      <c r="E525" s="18">
        <v>1</v>
      </c>
      <c r="F525" s="14">
        <v>89.99</v>
      </c>
      <c r="G525" s="14">
        <v>89.99</v>
      </c>
      <c r="H525" s="7"/>
      <c r="I525" s="7" t="s">
        <v>1342</v>
      </c>
      <c r="J525" s="7" t="s">
        <v>1105</v>
      </c>
      <c r="K525" s="7"/>
    </row>
    <row r="526" spans="1:11" ht="20.100000000000001" customHeight="1" x14ac:dyDescent="0.25">
      <c r="A526" s="12" t="s">
        <v>1296</v>
      </c>
      <c r="B526" s="13">
        <v>13770172</v>
      </c>
      <c r="C526" s="8">
        <v>733003893798</v>
      </c>
      <c r="D526" s="6" t="s">
        <v>365</v>
      </c>
      <c r="E526" s="18">
        <v>1</v>
      </c>
      <c r="F526" s="14">
        <v>79.989999999999995</v>
      </c>
      <c r="G526" s="14">
        <v>79.989999999999995</v>
      </c>
      <c r="H526" s="7" t="s">
        <v>950</v>
      </c>
      <c r="I526" s="7" t="s">
        <v>1332</v>
      </c>
      <c r="J526" s="7" t="s">
        <v>1353</v>
      </c>
      <c r="K526" s="7"/>
    </row>
    <row r="527" spans="1:11" ht="20.100000000000001" customHeight="1" x14ac:dyDescent="0.25">
      <c r="A527" s="12" t="s">
        <v>1296</v>
      </c>
      <c r="B527" s="13">
        <v>13770172</v>
      </c>
      <c r="C527" s="8">
        <v>733003941567</v>
      </c>
      <c r="D527" s="6" t="s">
        <v>366</v>
      </c>
      <c r="E527" s="18">
        <v>2</v>
      </c>
      <c r="F527" s="14">
        <v>149.99</v>
      </c>
      <c r="G527" s="14">
        <v>299.98</v>
      </c>
      <c r="H527" s="7" t="s">
        <v>984</v>
      </c>
      <c r="I527" s="7" t="s">
        <v>1097</v>
      </c>
      <c r="J527" s="7" t="s">
        <v>1098</v>
      </c>
      <c r="K527" s="7"/>
    </row>
    <row r="528" spans="1:11" ht="20.100000000000001" customHeight="1" x14ac:dyDescent="0.25">
      <c r="A528" s="12" t="s">
        <v>1296</v>
      </c>
      <c r="B528" s="13">
        <v>13770172</v>
      </c>
      <c r="C528" s="8">
        <v>86569419958</v>
      </c>
      <c r="D528" s="6" t="s">
        <v>367</v>
      </c>
      <c r="E528" s="18">
        <v>1</v>
      </c>
      <c r="F528" s="14">
        <v>112.99</v>
      </c>
      <c r="G528" s="14">
        <v>112.99</v>
      </c>
      <c r="H528" s="7" t="s">
        <v>944</v>
      </c>
      <c r="I528" s="7" t="s">
        <v>945</v>
      </c>
      <c r="J528" s="7" t="s">
        <v>955</v>
      </c>
      <c r="K528" s="7"/>
    </row>
    <row r="529" spans="1:11" ht="20.100000000000001" customHeight="1" x14ac:dyDescent="0.25">
      <c r="A529" s="12" t="s">
        <v>1296</v>
      </c>
      <c r="B529" s="13">
        <v>13770172</v>
      </c>
      <c r="C529" s="8">
        <v>734737677364</v>
      </c>
      <c r="D529" s="6" t="s">
        <v>368</v>
      </c>
      <c r="E529" s="18">
        <v>1</v>
      </c>
      <c r="F529" s="14">
        <v>29.99</v>
      </c>
      <c r="G529" s="14">
        <v>29.99</v>
      </c>
      <c r="H529" s="7" t="s">
        <v>1051</v>
      </c>
      <c r="I529" s="7" t="s">
        <v>939</v>
      </c>
      <c r="J529" s="7" t="s">
        <v>974</v>
      </c>
      <c r="K529" s="7"/>
    </row>
    <row r="530" spans="1:11" ht="20.100000000000001" customHeight="1" x14ac:dyDescent="0.25">
      <c r="A530" s="12" t="s">
        <v>1296</v>
      </c>
      <c r="B530" s="13">
        <v>13770172</v>
      </c>
      <c r="C530" s="8">
        <v>883893687554</v>
      </c>
      <c r="D530" s="6" t="s">
        <v>369</v>
      </c>
      <c r="E530" s="18">
        <v>1</v>
      </c>
      <c r="F530" s="14">
        <v>199.99</v>
      </c>
      <c r="G530" s="14">
        <v>199.99</v>
      </c>
      <c r="H530" s="7"/>
      <c r="I530" s="7" t="s">
        <v>1003</v>
      </c>
      <c r="J530" s="7" t="s">
        <v>1165</v>
      </c>
      <c r="K530" s="7"/>
    </row>
    <row r="531" spans="1:11" ht="20.100000000000001" customHeight="1" x14ac:dyDescent="0.25">
      <c r="A531" s="12" t="s">
        <v>1296</v>
      </c>
      <c r="B531" s="13">
        <v>13770172</v>
      </c>
      <c r="C531" s="8">
        <v>877681003442</v>
      </c>
      <c r="D531" s="6" t="s">
        <v>370</v>
      </c>
      <c r="E531" s="18">
        <v>1</v>
      </c>
      <c r="F531" s="14">
        <v>55.99</v>
      </c>
      <c r="G531" s="14">
        <v>55.99</v>
      </c>
      <c r="H531" s="7" t="s">
        <v>1126</v>
      </c>
      <c r="I531" s="7" t="s">
        <v>947</v>
      </c>
      <c r="J531" s="7" t="s">
        <v>1195</v>
      </c>
      <c r="K531" s="7"/>
    </row>
    <row r="532" spans="1:11" ht="20.100000000000001" customHeight="1" x14ac:dyDescent="0.25">
      <c r="A532" s="12" t="s">
        <v>1296</v>
      </c>
      <c r="B532" s="13">
        <v>13770172</v>
      </c>
      <c r="C532" s="8">
        <v>733003556693</v>
      </c>
      <c r="D532" s="6" t="s">
        <v>371</v>
      </c>
      <c r="E532" s="18">
        <v>1</v>
      </c>
      <c r="F532" s="14">
        <v>69.989999999999995</v>
      </c>
      <c r="G532" s="14">
        <v>69.989999999999995</v>
      </c>
      <c r="H532" s="7" t="s">
        <v>941</v>
      </c>
      <c r="I532" s="7" t="s">
        <v>1097</v>
      </c>
      <c r="J532" s="7" t="s">
        <v>1352</v>
      </c>
      <c r="K532" s="7"/>
    </row>
    <row r="533" spans="1:11" ht="20.100000000000001" customHeight="1" x14ac:dyDescent="0.25">
      <c r="A533" s="12" t="s">
        <v>1296</v>
      </c>
      <c r="B533" s="13">
        <v>13770172</v>
      </c>
      <c r="C533" s="8">
        <v>733002875306</v>
      </c>
      <c r="D533" s="6" t="s">
        <v>372</v>
      </c>
      <c r="E533" s="18">
        <v>1</v>
      </c>
      <c r="F533" s="14">
        <v>329.99</v>
      </c>
      <c r="G533" s="14">
        <v>329.99</v>
      </c>
      <c r="H533" s="7" t="s">
        <v>941</v>
      </c>
      <c r="I533" s="7" t="s">
        <v>956</v>
      </c>
      <c r="J533" s="7" t="s">
        <v>1014</v>
      </c>
      <c r="K533" s="7"/>
    </row>
    <row r="534" spans="1:11" ht="20.100000000000001" customHeight="1" x14ac:dyDescent="0.25">
      <c r="A534" s="12" t="s">
        <v>1296</v>
      </c>
      <c r="B534" s="13">
        <v>13770172</v>
      </c>
      <c r="C534" s="8">
        <v>733003023577</v>
      </c>
      <c r="D534" s="6" t="s">
        <v>1446</v>
      </c>
      <c r="E534" s="18">
        <v>1</v>
      </c>
      <c r="F534" s="14">
        <v>79.989999999999995</v>
      </c>
      <c r="G534" s="14">
        <v>79.989999999999995</v>
      </c>
      <c r="H534" s="7" t="s">
        <v>984</v>
      </c>
      <c r="I534" s="7" t="s">
        <v>956</v>
      </c>
      <c r="J534" s="7" t="s">
        <v>1014</v>
      </c>
      <c r="K534" s="7"/>
    </row>
    <row r="535" spans="1:11" ht="20.100000000000001" customHeight="1" x14ac:dyDescent="0.25">
      <c r="A535" s="12" t="s">
        <v>1296</v>
      </c>
      <c r="B535" s="13">
        <v>13770172</v>
      </c>
      <c r="C535" s="8">
        <v>679610838060</v>
      </c>
      <c r="D535" s="6" t="s">
        <v>373</v>
      </c>
      <c r="E535" s="18">
        <v>1</v>
      </c>
      <c r="F535" s="14">
        <v>29.99</v>
      </c>
      <c r="G535" s="14">
        <v>29.99</v>
      </c>
      <c r="H535" s="7" t="s">
        <v>1095</v>
      </c>
      <c r="I535" s="7" t="s">
        <v>945</v>
      </c>
      <c r="J535" s="7" t="s">
        <v>1055</v>
      </c>
      <c r="K535" s="7"/>
    </row>
    <row r="536" spans="1:11" ht="20.100000000000001" customHeight="1" x14ac:dyDescent="0.25">
      <c r="A536" s="12" t="s">
        <v>1296</v>
      </c>
      <c r="B536" s="13">
        <v>13770172</v>
      </c>
      <c r="C536" s="8">
        <v>679610838145</v>
      </c>
      <c r="D536" s="6" t="s">
        <v>618</v>
      </c>
      <c r="E536" s="18">
        <v>1</v>
      </c>
      <c r="F536" s="14">
        <v>29.99</v>
      </c>
      <c r="G536" s="14">
        <v>29.99</v>
      </c>
      <c r="H536" s="7" t="s">
        <v>991</v>
      </c>
      <c r="I536" s="7" t="s">
        <v>945</v>
      </c>
      <c r="J536" s="7" t="s">
        <v>1055</v>
      </c>
      <c r="K536" s="7"/>
    </row>
    <row r="537" spans="1:11" ht="20.100000000000001" customHeight="1" x14ac:dyDescent="0.25">
      <c r="A537" s="12" t="s">
        <v>1296</v>
      </c>
      <c r="B537" s="13">
        <v>13770172</v>
      </c>
      <c r="C537" s="8">
        <v>733003023638</v>
      </c>
      <c r="D537" s="6" t="s">
        <v>374</v>
      </c>
      <c r="E537" s="18">
        <v>1</v>
      </c>
      <c r="F537" s="14">
        <v>199.99</v>
      </c>
      <c r="G537" s="14">
        <v>199.99</v>
      </c>
      <c r="H537" s="7" t="s">
        <v>984</v>
      </c>
      <c r="I537" s="7" t="s">
        <v>956</v>
      </c>
      <c r="J537" s="7" t="s">
        <v>1107</v>
      </c>
      <c r="K537" s="7"/>
    </row>
    <row r="538" spans="1:11" ht="20.100000000000001" customHeight="1" x14ac:dyDescent="0.25">
      <c r="A538" s="12" t="s">
        <v>1296</v>
      </c>
      <c r="B538" s="13">
        <v>13770172</v>
      </c>
      <c r="C538" s="8">
        <v>46249671717</v>
      </c>
      <c r="D538" s="6" t="s">
        <v>375</v>
      </c>
      <c r="E538" s="18">
        <v>1</v>
      </c>
      <c r="F538" s="14">
        <v>6.99</v>
      </c>
      <c r="G538" s="14">
        <v>6.99</v>
      </c>
      <c r="H538" s="7"/>
      <c r="I538" s="7" t="s">
        <v>1033</v>
      </c>
      <c r="J538" s="7" t="s">
        <v>1075</v>
      </c>
      <c r="K538" s="7"/>
    </row>
    <row r="539" spans="1:11" ht="20.100000000000001" customHeight="1" x14ac:dyDescent="0.25">
      <c r="A539" s="12" t="s">
        <v>1296</v>
      </c>
      <c r="B539" s="13">
        <v>13770172</v>
      </c>
      <c r="C539" s="8">
        <v>81806694259</v>
      </c>
      <c r="D539" s="6" t="s">
        <v>376</v>
      </c>
      <c r="E539" s="18">
        <v>1</v>
      </c>
      <c r="F539" s="14">
        <v>49.99</v>
      </c>
      <c r="G539" s="14">
        <v>49.99</v>
      </c>
      <c r="H539" s="7" t="s">
        <v>994</v>
      </c>
      <c r="I539" s="7" t="s">
        <v>945</v>
      </c>
      <c r="J539" s="7" t="s">
        <v>1189</v>
      </c>
      <c r="K539" s="7"/>
    </row>
    <row r="540" spans="1:11" ht="20.100000000000001" customHeight="1" x14ac:dyDescent="0.25">
      <c r="A540" s="12" t="s">
        <v>1296</v>
      </c>
      <c r="B540" s="13">
        <v>13770172</v>
      </c>
      <c r="C540" s="8">
        <v>885308406842</v>
      </c>
      <c r="D540" s="6" t="s">
        <v>377</v>
      </c>
      <c r="E540" s="18">
        <v>2</v>
      </c>
      <c r="F540" s="14">
        <v>29.99</v>
      </c>
      <c r="G540" s="14">
        <v>59.98</v>
      </c>
      <c r="H540" s="7" t="s">
        <v>941</v>
      </c>
      <c r="I540" s="7" t="s">
        <v>947</v>
      </c>
      <c r="J540" s="7" t="s">
        <v>1141</v>
      </c>
      <c r="K540" s="7"/>
    </row>
    <row r="541" spans="1:11" ht="20.100000000000001" customHeight="1" x14ac:dyDescent="0.25">
      <c r="A541" s="12" t="s">
        <v>1296</v>
      </c>
      <c r="B541" s="13">
        <v>13770172</v>
      </c>
      <c r="C541" s="8">
        <v>734737691803</v>
      </c>
      <c r="D541" s="6" t="s">
        <v>378</v>
      </c>
      <c r="E541" s="18">
        <v>2</v>
      </c>
      <c r="F541" s="14">
        <v>129.99</v>
      </c>
      <c r="G541" s="14">
        <v>259.98</v>
      </c>
      <c r="H541" s="7" t="s">
        <v>1051</v>
      </c>
      <c r="I541" s="7" t="s">
        <v>945</v>
      </c>
      <c r="J541" s="7" t="s">
        <v>974</v>
      </c>
      <c r="K541" s="7"/>
    </row>
    <row r="542" spans="1:11" ht="20.100000000000001" customHeight="1" x14ac:dyDescent="0.25">
      <c r="A542" s="12" t="s">
        <v>1296</v>
      </c>
      <c r="B542" s="13">
        <v>13770172</v>
      </c>
      <c r="C542" s="8">
        <v>733003938024</v>
      </c>
      <c r="D542" s="6" t="s">
        <v>1447</v>
      </c>
      <c r="E542" s="18">
        <v>1</v>
      </c>
      <c r="F542" s="14">
        <v>199.99</v>
      </c>
      <c r="G542" s="14">
        <v>199.99</v>
      </c>
      <c r="H542" s="7" t="s">
        <v>941</v>
      </c>
      <c r="I542" s="7" t="s">
        <v>1080</v>
      </c>
      <c r="J542" s="7" t="s">
        <v>1081</v>
      </c>
      <c r="K542" s="7"/>
    </row>
    <row r="543" spans="1:11" ht="20.100000000000001" customHeight="1" x14ac:dyDescent="0.25">
      <c r="A543" s="12" t="s">
        <v>1296</v>
      </c>
      <c r="B543" s="13">
        <v>13770172</v>
      </c>
      <c r="C543" s="8">
        <v>733003499372</v>
      </c>
      <c r="D543" s="6" t="s">
        <v>379</v>
      </c>
      <c r="E543" s="18">
        <v>1</v>
      </c>
      <c r="F543" s="14">
        <v>139.99</v>
      </c>
      <c r="G543" s="14">
        <v>139.99</v>
      </c>
      <c r="H543" s="7" t="s">
        <v>941</v>
      </c>
      <c r="I543" s="7" t="s">
        <v>1080</v>
      </c>
      <c r="J543" s="7" t="s">
        <v>1117</v>
      </c>
      <c r="K543" s="7"/>
    </row>
    <row r="544" spans="1:11" ht="20.100000000000001" customHeight="1" x14ac:dyDescent="0.25">
      <c r="A544" s="12" t="s">
        <v>1296</v>
      </c>
      <c r="B544" s="13">
        <v>13770172</v>
      </c>
      <c r="C544" s="8">
        <v>646760084760</v>
      </c>
      <c r="D544" s="6" t="s">
        <v>380</v>
      </c>
      <c r="E544" s="18">
        <v>1</v>
      </c>
      <c r="F544" s="14">
        <v>19.989999999999998</v>
      </c>
      <c r="G544" s="14">
        <v>19.989999999999998</v>
      </c>
      <c r="H544" s="7" t="s">
        <v>968</v>
      </c>
      <c r="I544" s="7" t="s">
        <v>958</v>
      </c>
      <c r="J544" s="7" t="s">
        <v>328</v>
      </c>
      <c r="K544" s="7"/>
    </row>
    <row r="545" spans="1:11" ht="20.100000000000001" customHeight="1" x14ac:dyDescent="0.25">
      <c r="A545" s="12" t="s">
        <v>1296</v>
      </c>
      <c r="B545" s="13">
        <v>13770172</v>
      </c>
      <c r="C545" s="8">
        <v>733003940089</v>
      </c>
      <c r="D545" s="6" t="s">
        <v>1399</v>
      </c>
      <c r="E545" s="18">
        <v>1</v>
      </c>
      <c r="F545" s="14">
        <v>119.99</v>
      </c>
      <c r="G545" s="14">
        <v>119.99</v>
      </c>
      <c r="H545" s="7" t="s">
        <v>984</v>
      </c>
      <c r="I545" s="7" t="s">
        <v>1080</v>
      </c>
      <c r="J545" s="7" t="s">
        <v>1117</v>
      </c>
      <c r="K545" s="7"/>
    </row>
    <row r="546" spans="1:11" ht="20.100000000000001" customHeight="1" x14ac:dyDescent="0.25">
      <c r="A546" s="12" t="s">
        <v>1296</v>
      </c>
      <c r="B546" s="13">
        <v>13770172</v>
      </c>
      <c r="C546" s="8">
        <v>81806536337</v>
      </c>
      <c r="D546" s="6" t="s">
        <v>381</v>
      </c>
      <c r="E546" s="18">
        <v>1</v>
      </c>
      <c r="F546" s="14">
        <v>34.99</v>
      </c>
      <c r="G546" s="14">
        <v>34.99</v>
      </c>
      <c r="H546" s="7" t="s">
        <v>950</v>
      </c>
      <c r="I546" s="7" t="s">
        <v>947</v>
      </c>
      <c r="J546" s="7" t="s">
        <v>1141</v>
      </c>
      <c r="K546" s="7"/>
    </row>
    <row r="547" spans="1:11" ht="20.100000000000001" customHeight="1" x14ac:dyDescent="0.25">
      <c r="A547" s="12" t="s">
        <v>1296</v>
      </c>
      <c r="B547" s="13">
        <v>13770172</v>
      </c>
      <c r="C547" s="8">
        <v>81806536337</v>
      </c>
      <c r="D547" s="6" t="s">
        <v>381</v>
      </c>
      <c r="E547" s="18">
        <v>1</v>
      </c>
      <c r="F547" s="14">
        <v>34.99</v>
      </c>
      <c r="G547" s="14">
        <v>34.99</v>
      </c>
      <c r="H547" s="7" t="s">
        <v>950</v>
      </c>
      <c r="I547" s="7" t="s">
        <v>947</v>
      </c>
      <c r="J547" s="7" t="s">
        <v>1141</v>
      </c>
      <c r="K547" s="7"/>
    </row>
    <row r="548" spans="1:11" ht="20.100000000000001" customHeight="1" x14ac:dyDescent="0.25">
      <c r="A548" s="12" t="s">
        <v>1296</v>
      </c>
      <c r="B548" s="13">
        <v>13770172</v>
      </c>
      <c r="C548" s="8">
        <v>733003023591</v>
      </c>
      <c r="D548" s="6" t="s">
        <v>382</v>
      </c>
      <c r="E548" s="18">
        <v>1</v>
      </c>
      <c r="F548" s="14">
        <v>89.99</v>
      </c>
      <c r="G548" s="14">
        <v>89.99</v>
      </c>
      <c r="H548" s="7" t="s">
        <v>984</v>
      </c>
      <c r="I548" s="7" t="s">
        <v>956</v>
      </c>
      <c r="J548" s="7" t="s">
        <v>1014</v>
      </c>
      <c r="K548" s="7"/>
    </row>
    <row r="549" spans="1:11" ht="20.100000000000001" customHeight="1" x14ac:dyDescent="0.25">
      <c r="A549" s="12" t="s">
        <v>1296</v>
      </c>
      <c r="B549" s="13">
        <v>13770172</v>
      </c>
      <c r="C549" s="8">
        <v>86569840349</v>
      </c>
      <c r="D549" s="6" t="s">
        <v>383</v>
      </c>
      <c r="E549" s="18">
        <v>1</v>
      </c>
      <c r="F549" s="14">
        <v>19.989999999999998</v>
      </c>
      <c r="G549" s="14">
        <v>19.989999999999998</v>
      </c>
      <c r="H549" s="7" t="s">
        <v>944</v>
      </c>
      <c r="I549" s="7" t="s">
        <v>947</v>
      </c>
      <c r="J549" s="7" t="s">
        <v>384</v>
      </c>
      <c r="K549" s="7"/>
    </row>
    <row r="550" spans="1:11" ht="20.100000000000001" customHeight="1" x14ac:dyDescent="0.25">
      <c r="C550" s="15"/>
      <c r="E550" s="15">
        <f>SUM(E2:E549)</f>
        <v>711</v>
      </c>
      <c r="G550" s="20">
        <f>SUM(G2:G549)</f>
        <v>46435.73000000001</v>
      </c>
    </row>
    <row r="551" spans="1:11" ht="20.100000000000001" customHeight="1" x14ac:dyDescent="0.25">
      <c r="C551" s="15"/>
      <c r="E551" s="15"/>
    </row>
  </sheetData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Summary </vt:lpstr>
      <vt:lpstr>13571386</vt:lpstr>
      <vt:lpstr>13768424</vt:lpstr>
      <vt:lpstr>13770172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office</cp:lastModifiedBy>
  <dcterms:created xsi:type="dcterms:W3CDTF">2021-04-27T14:20:11Z</dcterms:created>
  <dcterms:modified xsi:type="dcterms:W3CDTF">2022-03-14T09:19:56Z</dcterms:modified>
</cp:coreProperties>
</file>